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workbookProtection workbookAlgorithmName="SHA-512" workbookHashValue="LvW1uULwNo6yYX32UwwMGYnChQbQ39w6wMQEjozT9jyXS3QcLeDW8txvPgrWrgQmjlQEz2JjcUKZ8XpRFaOqcg==" workbookSaltValue="97AMu4xoFmdRTHViycm3Rw==" workbookSpinCount="100000" lockStructure="1"/>
  <bookViews>
    <workbookView xWindow="0" yWindow="0" windowWidth="19200" windowHeight="7530" activeTab="1"/>
  </bookViews>
  <sheets>
    <sheet name="Förderantrag" sheetId="1" r:id="rId1"/>
    <sheet name="Antragsdaten" sheetId="2" r:id="rId2"/>
    <sheet name="Hintergrunddaten" sheetId="3" state="hidden" r:id="rId3"/>
    <sheet name="Fördersätze Förderrichtlinie" sheetId="4"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3" i="1" l="1"/>
  <c r="D15" i="1" l="1"/>
  <c r="G93" i="3" l="1"/>
  <c r="G91" i="3"/>
  <c r="G77" i="3"/>
  <c r="G76" i="3"/>
  <c r="G80" i="3"/>
  <c r="G79" i="3"/>
  <c r="D23" i="1"/>
  <c r="E38" i="2"/>
  <c r="E28" i="2"/>
  <c r="F72" i="2"/>
  <c r="G72" i="2"/>
  <c r="H72" i="2"/>
  <c r="F31" i="2"/>
  <c r="G31" i="2"/>
  <c r="F61" i="2"/>
  <c r="F53" i="2"/>
  <c r="F69" i="2"/>
  <c r="E41" i="2"/>
  <c r="E12" i="2" l="1"/>
  <c r="H11" i="2"/>
  <c r="J94" i="3"/>
  <c r="J92" i="3"/>
  <c r="J89" i="3"/>
  <c r="J82" i="3"/>
  <c r="J78" i="3"/>
  <c r="J75" i="3"/>
  <c r="J66" i="3"/>
  <c r="A87" i="1"/>
  <c r="K89" i="3"/>
  <c r="K92" i="3"/>
  <c r="K94" i="3"/>
  <c r="K66" i="3"/>
  <c r="K75" i="3"/>
  <c r="K78" i="3"/>
  <c r="L82" i="3"/>
  <c r="A27" i="1"/>
  <c r="B39" i="1"/>
  <c r="C104" i="3" l="1"/>
  <c r="A16" i="1"/>
  <c r="F43" i="1"/>
  <c r="H100" i="2"/>
  <c r="A43" i="1"/>
  <c r="H99" i="2"/>
  <c r="H9" i="2"/>
  <c r="C111" i="3" l="1"/>
  <c r="E4" i="3"/>
  <c r="D24" i="2" l="1"/>
  <c r="D23" i="2"/>
  <c r="H27" i="2"/>
  <c r="D35" i="2"/>
  <c r="G90" i="2" l="1"/>
  <c r="B89" i="1" l="1"/>
  <c r="B124" i="1" s="1"/>
  <c r="A124" i="1"/>
  <c r="A89" i="1"/>
  <c r="H10" i="2" l="1"/>
  <c r="H16" i="2"/>
  <c r="B4" i="4"/>
  <c r="B5" i="4"/>
  <c r="B6" i="4"/>
  <c r="B7" i="4"/>
  <c r="B8" i="4"/>
  <c r="B9" i="4"/>
  <c r="B10" i="4"/>
  <c r="B11" i="4"/>
  <c r="B13" i="4"/>
  <c r="B15" i="4"/>
  <c r="B17" i="4"/>
  <c r="B18" i="4"/>
  <c r="B19" i="4"/>
  <c r="B20" i="4"/>
  <c r="B21" i="4"/>
  <c r="B22" i="4"/>
  <c r="B24" i="4"/>
  <c r="B25" i="4"/>
  <c r="B27" i="4"/>
  <c r="B29" i="4"/>
  <c r="A24" i="1" l="1"/>
  <c r="H45" i="2"/>
  <c r="H84" i="2" l="1"/>
  <c r="G94" i="3" l="1"/>
  <c r="G92" i="3"/>
  <c r="G89" i="3"/>
  <c r="G82" i="3"/>
  <c r="G78" i="3"/>
  <c r="G75" i="3"/>
  <c r="G68" i="3"/>
  <c r="G67" i="3"/>
  <c r="G66" i="3"/>
  <c r="H44" i="3"/>
  <c r="E29" i="4" s="1"/>
  <c r="F44" i="3"/>
  <c r="D29" i="4" s="1"/>
  <c r="H42" i="3"/>
  <c r="E27" i="4" s="1"/>
  <c r="F42" i="3"/>
  <c r="D27" i="4" s="1"/>
  <c r="H40" i="3"/>
  <c r="E25" i="4" s="1"/>
  <c r="F40" i="3"/>
  <c r="D25" i="4" s="1"/>
  <c r="H39" i="3"/>
  <c r="F39" i="3"/>
  <c r="H37" i="3"/>
  <c r="E22" i="4" s="1"/>
  <c r="F37" i="3"/>
  <c r="D22" i="4" s="1"/>
  <c r="H36" i="3"/>
  <c r="E21" i="4" s="1"/>
  <c r="F36" i="3"/>
  <c r="D21" i="4" s="1"/>
  <c r="H35" i="3"/>
  <c r="E20" i="4" s="1"/>
  <c r="F35" i="3"/>
  <c r="D20" i="4" s="1"/>
  <c r="I34" i="3"/>
  <c r="I36" i="3" s="1"/>
  <c r="H34" i="3"/>
  <c r="E19" i="4" s="1"/>
  <c r="F34" i="3"/>
  <c r="D19" i="4" s="1"/>
  <c r="H33" i="3"/>
  <c r="E18" i="4" s="1"/>
  <c r="F33" i="3"/>
  <c r="D18" i="4" s="1"/>
  <c r="H32" i="3"/>
  <c r="E17" i="4" s="1"/>
  <c r="F32" i="3"/>
  <c r="D17" i="4" s="1"/>
  <c r="H30" i="3"/>
  <c r="E15" i="4" s="1"/>
  <c r="F30" i="3"/>
  <c r="D15" i="4" s="1"/>
  <c r="H28" i="3"/>
  <c r="F28" i="3"/>
  <c r="D13" i="4" s="1"/>
  <c r="E14" i="3"/>
  <c r="E13" i="3"/>
  <c r="B11" i="3"/>
  <c r="B61" i="3" s="1"/>
  <c r="B94" i="3" s="1"/>
  <c r="E10" i="3"/>
  <c r="B10" i="3"/>
  <c r="B60" i="3" s="1"/>
  <c r="B92" i="3" s="1"/>
  <c r="E9" i="3"/>
  <c r="B9" i="3"/>
  <c r="B59" i="3" s="1"/>
  <c r="B89" i="3" s="1"/>
  <c r="F8" i="3"/>
  <c r="E8" i="3"/>
  <c r="B8" i="3"/>
  <c r="B58" i="3" s="1"/>
  <c r="B82" i="3" s="1"/>
  <c r="F7" i="3"/>
  <c r="E7" i="3"/>
  <c r="B7" i="3"/>
  <c r="C33" i="2" s="1"/>
  <c r="E33" i="2" s="1"/>
  <c r="H33" i="2" s="1"/>
  <c r="F40" i="2" s="1"/>
  <c r="F6" i="3"/>
  <c r="E6" i="3"/>
  <c r="B6" i="3"/>
  <c r="B56" i="3" s="1"/>
  <c r="B75" i="3" s="1"/>
  <c r="F5" i="3"/>
  <c r="E5" i="3"/>
  <c r="B5" i="3"/>
  <c r="B55" i="3" s="1"/>
  <c r="G4" i="3"/>
  <c r="F4" i="3"/>
  <c r="H17" i="2" s="1"/>
  <c r="H140" i="2"/>
  <c r="H139" i="2"/>
  <c r="H138" i="2"/>
  <c r="H137" i="2"/>
  <c r="H136" i="2"/>
  <c r="H134" i="2"/>
  <c r="H133" i="2"/>
  <c r="H132" i="2"/>
  <c r="H131" i="2"/>
  <c r="H130" i="2"/>
  <c r="H124" i="2"/>
  <c r="H123" i="2"/>
  <c r="H122" i="2"/>
  <c r="C110" i="3" s="1"/>
  <c r="D12" i="1" s="1"/>
  <c r="H121" i="2"/>
  <c r="H120" i="2"/>
  <c r="H117" i="2"/>
  <c r="H116" i="2"/>
  <c r="H114" i="2"/>
  <c r="H111" i="2"/>
  <c r="H110" i="2"/>
  <c r="H109" i="2"/>
  <c r="H108" i="2"/>
  <c r="H107" i="2"/>
  <c r="H106" i="2"/>
  <c r="H105" i="2"/>
  <c r="H104" i="2"/>
  <c r="H103" i="2"/>
  <c r="H102" i="2"/>
  <c r="E94" i="2"/>
  <c r="H91" i="2"/>
  <c r="G95" i="3" s="1"/>
  <c r="E90" i="2"/>
  <c r="C89" i="2"/>
  <c r="E89" i="2" s="1"/>
  <c r="H89" i="2" s="1"/>
  <c r="F93" i="2" s="1"/>
  <c r="E87" i="2"/>
  <c r="E86" i="2"/>
  <c r="E83" i="2"/>
  <c r="C82" i="2"/>
  <c r="E82" i="2" s="1"/>
  <c r="A41" i="3" s="1"/>
  <c r="C92" i="3" s="1"/>
  <c r="E80" i="2"/>
  <c r="E79" i="2"/>
  <c r="H77" i="2"/>
  <c r="F76" i="2"/>
  <c r="E76" i="2"/>
  <c r="H75" i="2"/>
  <c r="G90" i="3" s="1"/>
  <c r="C74" i="2"/>
  <c r="E74" i="2" s="1"/>
  <c r="A38" i="3" s="1"/>
  <c r="C89" i="3" s="1"/>
  <c r="E72" i="2"/>
  <c r="E69" i="2"/>
  <c r="H67" i="2"/>
  <c r="H66" i="2"/>
  <c r="G87" i="3" s="1"/>
  <c r="E65" i="2"/>
  <c r="D65" i="2"/>
  <c r="G64" i="2"/>
  <c r="E64" i="2"/>
  <c r="D63" i="2"/>
  <c r="H59" i="2"/>
  <c r="H58" i="2"/>
  <c r="E57" i="2"/>
  <c r="D57" i="2"/>
  <c r="G56" i="2"/>
  <c r="E56" i="2"/>
  <c r="D55" i="2"/>
  <c r="E53" i="2"/>
  <c r="H51" i="2"/>
  <c r="H50" i="2"/>
  <c r="E49" i="2"/>
  <c r="D49" i="2"/>
  <c r="G48" i="2"/>
  <c r="E48" i="2"/>
  <c r="D47" i="2"/>
  <c r="E19" i="2"/>
  <c r="G81" i="3"/>
  <c r="H37" i="2"/>
  <c r="H36" i="2"/>
  <c r="E34" i="2"/>
  <c r="E31" i="2"/>
  <c r="H26" i="2"/>
  <c r="E22" i="2"/>
  <c r="C21" i="2"/>
  <c r="E21" i="2" s="1"/>
  <c r="A27" i="3" s="1"/>
  <c r="C75" i="3" s="1"/>
  <c r="C15" i="2"/>
  <c r="E15" i="2" s="1"/>
  <c r="A18" i="3" s="1"/>
  <c r="A111" i="1"/>
  <c r="A85" i="1"/>
  <c r="A83" i="1"/>
  <c r="F81" i="1"/>
  <c r="A81" i="1"/>
  <c r="H79" i="1"/>
  <c r="A79" i="1"/>
  <c r="F77" i="1"/>
  <c r="A77" i="1"/>
  <c r="A75" i="1"/>
  <c r="A73" i="1"/>
  <c r="A69" i="1"/>
  <c r="F67" i="1"/>
  <c r="A67" i="1"/>
  <c r="H65" i="1"/>
  <c r="A65" i="1"/>
  <c r="F61" i="1"/>
  <c r="A61" i="1"/>
  <c r="A59" i="1"/>
  <c r="A57" i="1"/>
  <c r="A55" i="1"/>
  <c r="A53" i="1"/>
  <c r="F51" i="1"/>
  <c r="A51" i="1"/>
  <c r="H49" i="1"/>
  <c r="A49" i="1"/>
  <c r="F47" i="1"/>
  <c r="A47" i="1"/>
  <c r="A45" i="1"/>
  <c r="A39" i="1"/>
  <c r="A32" i="1"/>
  <c r="A22" i="1"/>
  <c r="A4" i="1"/>
  <c r="A3" i="1"/>
  <c r="A2" i="1"/>
  <c r="D85" i="3" l="1"/>
  <c r="D86" i="3" s="1"/>
  <c r="G86" i="3" s="1"/>
  <c r="G85" i="3" s="1"/>
  <c r="C109" i="3"/>
  <c r="C113" i="3"/>
  <c r="D11" i="1" s="1"/>
  <c r="E40" i="2"/>
  <c r="B66" i="3"/>
  <c r="E30" i="2"/>
  <c r="E13" i="4"/>
  <c r="B57" i="3"/>
  <c r="B78" i="3" s="1"/>
  <c r="E61" i="2"/>
  <c r="C43" i="2"/>
  <c r="E43" i="2" s="1"/>
  <c r="A31" i="3" s="1"/>
  <c r="C82" i="3" s="1"/>
  <c r="I82" i="3" s="1"/>
  <c r="E92" i="2"/>
  <c r="E39" i="2"/>
  <c r="E93" i="2"/>
  <c r="E52" i="2"/>
  <c r="E68" i="2"/>
  <c r="E60" i="2"/>
  <c r="D87" i="3"/>
  <c r="D88" i="3" s="1"/>
  <c r="G88" i="3" s="1"/>
  <c r="D83" i="3"/>
  <c r="D84" i="3" s="1"/>
  <c r="G84" i="3" s="1"/>
  <c r="G83" i="3" s="1"/>
  <c r="A29" i="3"/>
  <c r="C78" i="3" s="1"/>
  <c r="C79" i="3" s="1"/>
  <c r="H15" i="2"/>
  <c r="E18" i="2" s="1"/>
  <c r="C91" i="3"/>
  <c r="C90" i="3"/>
  <c r="I89" i="3"/>
  <c r="C76" i="3"/>
  <c r="I75" i="3"/>
  <c r="C77" i="3"/>
  <c r="C93" i="3"/>
  <c r="I92" i="3"/>
  <c r="C66" i="3"/>
  <c r="H74" i="2"/>
  <c r="A43" i="3"/>
  <c r="C94" i="3" s="1"/>
  <c r="H82" i="2"/>
  <c r="H21" i="2"/>
  <c r="F30" i="2" s="1"/>
  <c r="D10" i="1" l="1"/>
  <c r="C102" i="3"/>
  <c r="E29" i="2"/>
  <c r="E85" i="2"/>
  <c r="F86" i="2"/>
  <c r="E78" i="2"/>
  <c r="F79" i="2"/>
  <c r="G29" i="2"/>
  <c r="C85" i="3"/>
  <c r="C83" i="3"/>
  <c r="H43" i="2"/>
  <c r="E71" i="2" s="1"/>
  <c r="C87" i="3"/>
  <c r="C100" i="3"/>
  <c r="C80" i="3"/>
  <c r="C81" i="3"/>
  <c r="I78" i="3"/>
  <c r="C71" i="3"/>
  <c r="I66" i="3"/>
  <c r="C70" i="3"/>
  <c r="C69" i="3"/>
  <c r="C74" i="3"/>
  <c r="C72" i="3"/>
  <c r="C68" i="3"/>
  <c r="C73" i="3"/>
  <c r="C67" i="3"/>
  <c r="I94" i="3"/>
  <c r="C95" i="3"/>
  <c r="F71" i="2" l="1"/>
  <c r="D16" i="1"/>
  <c r="B30" i="1" s="1"/>
  <c r="A30" i="1" s="1"/>
  <c r="C101" i="3" l="1"/>
  <c r="F12" i="2" s="1"/>
  <c r="C103" i="3"/>
  <c r="B19" i="1"/>
  <c r="A19" i="1" s="1"/>
  <c r="B29" i="1"/>
  <c r="A29" i="1" s="1"/>
  <c r="B20" i="1"/>
  <c r="A20" i="1" s="1"/>
  <c r="B28" i="1"/>
  <c r="A28" i="1" s="1"/>
  <c r="B18" i="1"/>
  <c r="A18" i="1" s="1"/>
  <c r="C105" i="3" l="1"/>
  <c r="D22" i="1" s="1"/>
</calcChain>
</file>

<file path=xl/sharedStrings.xml><?xml version="1.0" encoding="utf-8"?>
<sst xmlns="http://schemas.openxmlformats.org/spreadsheetml/2006/main" count="527" uniqueCount="256">
  <si>
    <t>Stadt Dingolfing</t>
  </si>
  <si>
    <t>Klimaschutz</t>
  </si>
  <si>
    <t>Dr.-Josef-Hastreiter-Str. 2</t>
  </si>
  <si>
    <t>84130 Dingolfing</t>
  </si>
  <si>
    <t>Förderantrag</t>
  </si>
  <si>
    <t>(Antragsteller)</t>
  </si>
  <si>
    <t>Ort, Datum</t>
  </si>
  <si>
    <t>Dingolfinger Anreizprogramm Klimaschutzoffensive</t>
  </si>
  <si>
    <t>Angaben zum Antragsteller</t>
  </si>
  <si>
    <t>Anrede</t>
  </si>
  <si>
    <t>Vorname</t>
  </si>
  <si>
    <t>Name</t>
  </si>
  <si>
    <t>Straße</t>
  </si>
  <si>
    <t>Hausnr.</t>
  </si>
  <si>
    <t>PLZ</t>
  </si>
  <si>
    <t>Wohnort</t>
  </si>
  <si>
    <t>Geburtsdatum</t>
  </si>
  <si>
    <t>E-Mail-Adresse</t>
  </si>
  <si>
    <t>Telefonnummer</t>
  </si>
  <si>
    <t>Kontoverbindung (IBAN) für die Auszahlung</t>
  </si>
  <si>
    <t>Kontoinhaber: Vorname</t>
  </si>
  <si>
    <t>Mit freundlichen Grüßen,</t>
  </si>
  <si>
    <t>Fördervoraussetzungen</t>
  </si>
  <si>
    <t>Datenschutzhinweise</t>
  </si>
  <si>
    <t>Rechtliche Hinweise</t>
  </si>
  <si>
    <t>Subventionserhebliche Tatsachen</t>
  </si>
  <si>
    <t>Falsche Angaben in Bezug auf subventionserhebliche Tatsachen können gemäß § 264 Strafgesetzbuch (StGB) strafrechtliche Konsequenzen für Antragsteller und Zuwendungsempfänger haben. Darunter fallen alle Angaben, die für die Gewährung der beantragten Zuwendung erheblich sind.</t>
  </si>
  <si>
    <t>Bestätigung der Angaben</t>
  </si>
  <si>
    <t>Dropdown Auswahl der Förderprogramme</t>
  </si>
  <si>
    <t>Austauschprämie Zentralheizung</t>
  </si>
  <si>
    <t>Thermische Solaranlage</t>
  </si>
  <si>
    <t>Dämmmaßnahmen</t>
  </si>
  <si>
    <t>Lüftungsanlage</t>
  </si>
  <si>
    <t>Begrünung und Flächenentsiegelung</t>
  </si>
  <si>
    <t>Geplante Anlage</t>
  </si>
  <si>
    <t>Öl Brennwert</t>
  </si>
  <si>
    <t>Gas Brennwert</t>
  </si>
  <si>
    <t>Biomasse</t>
  </si>
  <si>
    <t>Fördersummen</t>
  </si>
  <si>
    <t>BHKW</t>
  </si>
  <si>
    <t>PV-Speicher-Systeme</t>
  </si>
  <si>
    <t>Prüfung:</t>
  </si>
  <si>
    <t>Brennstoffzellenheizung</t>
  </si>
  <si>
    <t>Beantragte Fördersumme</t>
  </si>
  <si>
    <t>Kollektorfläche Solarthermie</t>
  </si>
  <si>
    <t>Größe Pufferspeicher</t>
  </si>
  <si>
    <t>Liter</t>
  </si>
  <si>
    <t>m²</t>
  </si>
  <si>
    <t>Euro pro m2</t>
  </si>
  <si>
    <t>Fläche/Anzahl Minimal</t>
  </si>
  <si>
    <t>Fläche/Anzahl Maximal</t>
  </si>
  <si>
    <t>Zentrale Lüftungsanlage</t>
  </si>
  <si>
    <t>Dezentrale Lüftungsanlage</t>
  </si>
  <si>
    <t>Euro pro Gerät</t>
  </si>
  <si>
    <t>PV-Anlage mit Stromspeicher</t>
  </si>
  <si>
    <t>Euro pro kWh/kWp</t>
  </si>
  <si>
    <t>Zusätzlich: Ökobonus</t>
  </si>
  <si>
    <t>Extensive Dachbegrünung</t>
  </si>
  <si>
    <t>Fördergrenze prozentual d. anr. Kosten</t>
  </si>
  <si>
    <t>Beantrage Fördersumme</t>
  </si>
  <si>
    <t>Leistung der neuen PV-Anlage</t>
  </si>
  <si>
    <t>kWp</t>
  </si>
  <si>
    <t>kWh</t>
  </si>
  <si>
    <t>Förderhöhe</t>
  </si>
  <si>
    <t>Antragsteller:</t>
  </si>
  <si>
    <t>Außenwanddämmung</t>
  </si>
  <si>
    <t>Auswahl Ökobonus</t>
  </si>
  <si>
    <t>Ja</t>
  </si>
  <si>
    <t>Nein</t>
  </si>
  <si>
    <t>Maximale Fördersumme</t>
  </si>
  <si>
    <t>Dämmung aus nachwachsenden Rohstoffen</t>
  </si>
  <si>
    <t>Maximale Förderquote</t>
  </si>
  <si>
    <t>Maximale Förderung (Euro)</t>
  </si>
  <si>
    <t>Minimale Förderung (Euro)</t>
  </si>
  <si>
    <t>Abhähngig von Überpunkt</t>
  </si>
  <si>
    <t>- Fördersatz</t>
  </si>
  <si>
    <t>Auswahl Programmpunkt:</t>
  </si>
  <si>
    <t>Legende:</t>
  </si>
  <si>
    <t>Feste Zuordnugnen = NICHT ÄNDERN</t>
  </si>
  <si>
    <t>Arbeitsfenster = Anpassbar</t>
  </si>
  <si>
    <t>Dropdown Auswahl der Lüftungsanlagen</t>
  </si>
  <si>
    <t>Stück</t>
  </si>
  <si>
    <t>-Anzahl der Lüfungsgeräte</t>
  </si>
  <si>
    <t>Analog zu Dezentral</t>
  </si>
  <si>
    <t>Geplante Anlagenart</t>
  </si>
  <si>
    <t>Förderfähige Größe</t>
  </si>
  <si>
    <t>ACHTUNG: Nur den ausgewählten (aktiven) Programmpunkt bearbeiten. Alle sonstigen Angaben in anderen Programmpunkten werden nicht gewertet.</t>
  </si>
  <si>
    <t>pro m²</t>
  </si>
  <si>
    <t>Status</t>
  </si>
  <si>
    <t>pro kWp bzw. kWh</t>
  </si>
  <si>
    <t>Dachfläche Extensives Gründach</t>
  </si>
  <si>
    <t>Euro</t>
  </si>
  <si>
    <t>Pro m² Solaranlage ist folgendes Volumen (l) nötig:</t>
  </si>
  <si>
    <t>Thermische Solaranlage - Anforderung Pufferspeicher</t>
  </si>
  <si>
    <t>Bezeichnung für aktives Programm</t>
  </si>
  <si>
    <t>Aktiv</t>
  </si>
  <si>
    <t>Hauptpunkt</t>
  </si>
  <si>
    <t>Unterpunkt</t>
  </si>
  <si>
    <t>Geplante Anlage:</t>
  </si>
  <si>
    <t>Aktiver Unterpunkt</t>
  </si>
  <si>
    <t>Aktiver Programmpunkt</t>
  </si>
  <si>
    <t>1 = Ja/Aktiv, 0 = Nein/Inaktiv</t>
  </si>
  <si>
    <t>Bezeichnungen</t>
  </si>
  <si>
    <t>A</t>
  </si>
  <si>
    <t>B</t>
  </si>
  <si>
    <t>C</t>
  </si>
  <si>
    <t>D</t>
  </si>
  <si>
    <t>E</t>
  </si>
  <si>
    <t>F</t>
  </si>
  <si>
    <t>G</t>
  </si>
  <si>
    <t>Dämmfläche Kellerdecke/Bodenplatte</t>
  </si>
  <si>
    <t>Dämmfläche oberste Geschossdecke/Dach</t>
  </si>
  <si>
    <t>Dämmfläche Dämmung Außenwand</t>
  </si>
  <si>
    <t>Unterpunkt 1</t>
  </si>
  <si>
    <t>Unterpunkt 2</t>
  </si>
  <si>
    <t>Unterpunkt 3</t>
  </si>
  <si>
    <t>Programmpunkte</t>
  </si>
  <si>
    <t>Für Förderantrag - Text</t>
  </si>
  <si>
    <t>Beantragte Fördersumme:</t>
  </si>
  <si>
    <t>Vorhandener Energieträger:</t>
  </si>
  <si>
    <t>Größe Pufferspeicher:</t>
  </si>
  <si>
    <t>Kollektorfläche Solarthermie:</t>
  </si>
  <si>
    <t>Förderfähige Größe der Anlage:</t>
  </si>
  <si>
    <t>Dämmfläche Kellerdecke/Bodenplatte:</t>
  </si>
  <si>
    <t>Geplante Anlagenart:</t>
  </si>
  <si>
    <t>Anzahl der Lüfungsgeräte:</t>
  </si>
  <si>
    <t>Für Förderantrag - zentrale Werte und Antragsdaten</t>
  </si>
  <si>
    <t>Dropdown Vorhandener Energieträger</t>
  </si>
  <si>
    <t>Antragsdaten: Antragsteller</t>
  </si>
  <si>
    <t>Förderantrag - Textbausteine</t>
  </si>
  <si>
    <t>Antragsdaten - Fördergegenstand</t>
  </si>
  <si>
    <t>Aktiver Förderantrag:</t>
  </si>
  <si>
    <t>Angaben zur Kontoverbindung</t>
  </si>
  <si>
    <t>Kontoinhaber - Vorname</t>
  </si>
  <si>
    <t>Kontoinhaber - Nachname</t>
  </si>
  <si>
    <t>Nachname</t>
  </si>
  <si>
    <t>Ort</t>
  </si>
  <si>
    <t>Nutzbare Speicherkapazität des neuen Batterispeichers</t>
  </si>
  <si>
    <t>Dämmung Oberste Geschossdecke/Dach</t>
  </si>
  <si>
    <t>Dämmung Kellerdecke/Bodenplatte</t>
  </si>
  <si>
    <t>Dämmfläche Außenwand:</t>
  </si>
  <si>
    <t>Dämmfläche Oberste Geschossdecke/Dach:</t>
  </si>
  <si>
    <t>Flurnummer und Gemarkung</t>
  </si>
  <si>
    <t>Investitionsobjekt der geplanten Maßnahme</t>
  </si>
  <si>
    <t>Antragsformular</t>
  </si>
  <si>
    <t>Überprüfung: Alle Angaben korrekt?</t>
  </si>
  <si>
    <t>Investobjekt in Dingolfing?</t>
  </si>
  <si>
    <t>Zusätzlich nötige Daten</t>
  </si>
  <si>
    <t>Im Rahmen der Förderung werden personenbezogene und sonstige Daten im Sinne der EU-Datenschutzgrundverordnung (Art. 2 ff. DSGVO) verarbeitet. Die in diesem Antrag abgefragten personenbezogenen Daten werden insoweit erhoben, verarbeitet und genutzt, wie dies für die Antragstellung und Abwicklung des Vorhabens erforderlich ist. Eine Übertragung von personenbezogenen Daten an Dritte erfolgt ausschließlich im Rahmen der Antragstellung und Abwicklung für Kontroll- und Auswertungszwecke. Unter https://www.klimaschutz-dingolfing.de/kommunale-foerderungen kann die Datenschutzerklärung eingesehen werden.</t>
  </si>
  <si>
    <t>Mit diesem Antrag kommt kein Vertrag zwischen der Stadt Dingolfing und dem Antragsteller zustande. Es ist damit insbesondere noch keine Entscheidung über die Gewährung eines Zuschusses durch die Stadt Dingolfing verbunden. Die Stadt Dingolfing ist im Rahmen des Förderverfahrens zu weiteren Prüfungen der geförderten Maßnahmen berechtigt. Dahingehend kann die Prüfstelle weitere projektbezogene Unterlagen vom Antragsteller anfordern. Sollten die Prüfungen ergeben, dass die Anforderungen nicht erfüllt sind, kann die Stadt Dingolfing die Auszahlung der Zuschüsse ganz oder teilweise verweigern.</t>
  </si>
  <si>
    <t>Bitte wählen</t>
  </si>
  <si>
    <t>Firma</t>
  </si>
  <si>
    <t>Unterschrift des Antragstellers</t>
  </si>
  <si>
    <t>Vorname (Ansprechpartner)</t>
  </si>
  <si>
    <t>Nachname (Ansprechpartner)</t>
  </si>
  <si>
    <t>Postleitzahl</t>
  </si>
  <si>
    <t>Antragsdaten: Fachfirma</t>
  </si>
  <si>
    <t>Angaben zum Ansprechpartner:</t>
  </si>
  <si>
    <r>
      <rPr>
        <sz val="11"/>
        <color theme="1"/>
        <rFont val="Calibri"/>
        <family val="2"/>
      </rPr>
      <t xml:space="preserve">→ </t>
    </r>
    <r>
      <rPr>
        <sz val="11"/>
        <color theme="1"/>
        <rFont val="Calibri"/>
        <family val="2"/>
        <scheme val="minor"/>
      </rPr>
      <t>Beantragung Ökobonus</t>
    </r>
  </si>
  <si>
    <t>Leistung der neuen PV-Anlage:</t>
  </si>
  <si>
    <t>Nutzbare Speicherkapazität des neuen Batterispeichers:</t>
  </si>
  <si>
    <t>Heizungspumpentausch</t>
  </si>
  <si>
    <t>Austausch Umwälzpumpe</t>
  </si>
  <si>
    <t>pro Gerät</t>
  </si>
  <si>
    <t>Wärmepumpe</t>
  </si>
  <si>
    <t>Neue Wärmepumpe</t>
  </si>
  <si>
    <t>Wärmepumpe älter als 10 Jahre</t>
  </si>
  <si>
    <t>Anschluss Nah- / Fernwärmenetz</t>
  </si>
  <si>
    <t>ACHTUNG: Bei Maßnahmen in Eigenleistung:</t>
  </si>
  <si>
    <t>Baujahr des Gebäudes</t>
  </si>
  <si>
    <t>Bis 31.12.2001</t>
  </si>
  <si>
    <t>Ab 01.01.2002</t>
  </si>
  <si>
    <t>Baujahr des Gebäudes (Bauantrag):</t>
  </si>
  <si>
    <t>Anzahl der auszutauschenden Pumpen</t>
  </si>
  <si>
    <t>pro m² Kollektorlfäche</t>
  </si>
  <si>
    <t>pro kWh/kWp</t>
  </si>
  <si>
    <t>pauschal</t>
  </si>
  <si>
    <t>Minimale 
Fördersumme</t>
  </si>
  <si>
    <t>Maximale 
Fördersumme</t>
  </si>
  <si>
    <r>
      <rPr>
        <b/>
        <u/>
        <sz val="11"/>
        <color theme="1"/>
        <rFont val="Calibri"/>
        <family val="2"/>
        <scheme val="minor"/>
      </rPr>
      <t>Programmpunkte</t>
    </r>
    <r>
      <rPr>
        <b/>
        <sz val="11"/>
        <color theme="1"/>
        <rFont val="Calibri"/>
        <family val="2"/>
        <scheme val="minor"/>
      </rPr>
      <t xml:space="preserve"> 
</t>
    </r>
    <r>
      <rPr>
        <sz val="11"/>
        <color theme="1"/>
        <rFont val="Calibri"/>
        <family val="2"/>
        <scheme val="minor"/>
      </rPr>
      <t>und Unterpunkte</t>
    </r>
  </si>
  <si>
    <t>Fördersätze</t>
  </si>
  <si>
    <t>- Zusätzlich: Ökobonus</t>
  </si>
  <si>
    <t>Maßnahme in Eigenleistung geplant?</t>
  </si>
  <si>
    <t>Eigenleistung?</t>
  </si>
  <si>
    <t>(Im Format: DE01 2345 6789 1234 5678 91)</t>
  </si>
  <si>
    <t>Seite 1 von 3</t>
  </si>
  <si>
    <t>Seite 2 von 3</t>
  </si>
  <si>
    <t>Dämmmaßnahmen an Bestandsgebäuden</t>
  </si>
  <si>
    <r>
      <rPr>
        <b/>
        <i/>
        <sz val="11"/>
        <color theme="1"/>
        <rFont val="Calibri"/>
        <family val="2"/>
        <scheme val="minor"/>
      </rPr>
      <t>- Nicht Gegenstand der Förderung</t>
    </r>
    <r>
      <rPr>
        <i/>
        <sz val="11"/>
        <color theme="1"/>
        <rFont val="Calibri"/>
        <family val="2"/>
        <scheme val="minor"/>
      </rPr>
      <t xml:space="preserve"> sind Anlagen, welche ausschließlich oder primär für die Beheizung von Schwimmbädern, Pools, Whirlpools o.ä. genutzt werden.</t>
    </r>
  </si>
  <si>
    <t>Seite 3 von 3</t>
  </si>
  <si>
    <t>Förderfähige Kollektorfläche</t>
  </si>
  <si>
    <t>Heizöl- oder Erdgasheizung älter als 20 Jahre</t>
  </si>
  <si>
    <t>Heizöl-, Erdgas- oder Direktstromheizung älter als 10 Jahre</t>
  </si>
  <si>
    <t xml:space="preserve">c </t>
  </si>
  <si>
    <t>Ausführender Fachbetrieb oder begleitender Energieeffizienzexperte</t>
  </si>
  <si>
    <t>Art des Gebäudes</t>
  </si>
  <si>
    <t>Wohngebäude</t>
  </si>
  <si>
    <t>Nichtwohngebäude</t>
  </si>
  <si>
    <t>Gebäudetyp</t>
  </si>
  <si>
    <t>Art des Antragstellers</t>
  </si>
  <si>
    <t>Unternehmen</t>
  </si>
  <si>
    <t>Privatperson</t>
  </si>
  <si>
    <t>Verein</t>
  </si>
  <si>
    <t>Stiftung</t>
  </si>
  <si>
    <t>Wohneigentümergemeinschaft (WEG)</t>
  </si>
  <si>
    <t>- Bemerkung: Nur für Unternehmen relevant - bei Privatpersonen etc. ist hier "Nein" anzugeben.</t>
  </si>
  <si>
    <t>Ist der Antragsteller ein KMU gemäß 
der EU-Empfehlung 2003/361/EG?</t>
  </si>
  <si>
    <r>
      <t>Achtung:</t>
    </r>
    <r>
      <rPr>
        <sz val="11"/>
        <color theme="1"/>
        <rFont val="Calibri"/>
        <family val="2"/>
        <scheme val="minor"/>
      </rPr>
      <t xml:space="preserve"> 
Die Antragsunterlagen sind vor Maßnahmenbeginn (Auftragsvergabe) bei der Stadt Dingolfing einzureichen. Erst ab Erhalt des schriftlichen Zuwendungsbescheids darf mit der Beauftragung begonnen werden (Siehe Förderrichtlinie).</t>
    </r>
  </si>
  <si>
    <t>KMU-Regelungen erfüllt?</t>
  </si>
  <si>
    <t>Unternehmen müssen KMUs sein, Privatpersonen nicht</t>
  </si>
  <si>
    <t>pro m² Dachfläche</t>
  </si>
  <si>
    <t>pro m² gedämmter Fläche</t>
  </si>
  <si>
    <t>Gebäudeart:</t>
  </si>
  <si>
    <t>Anlage 3</t>
  </si>
  <si>
    <t>Anlage 2</t>
  </si>
  <si>
    <t>Anlage 1</t>
  </si>
  <si>
    <t>Das Grundstück sowie das zugehörige Gebäude, bei dem die betreffende Anlage installiert wird, befindet sich im Stadtgebiet der Stadt Dingolfing.</t>
  </si>
  <si>
    <t>Die zum Antragszeitpunkt gültige Förderrichtlinie des Dingolfinger Anreizprogramms Klimaschutzoffensive habe ich gelesen und verstanden. Die Förderbedingungen werden eingehalten.</t>
  </si>
  <si>
    <t>Für die Beantragung des Dingolfinger Anreizprogramms Klimaschutzoffensive müssen die folgenden Voraussetzungen erfüllt sein (Bitte mit Kreuz bestätigen):</t>
  </si>
  <si>
    <t>Die vorläufige U-Wert-Berechnung der gedämmten Bauteile</t>
  </si>
  <si>
    <r>
      <t xml:space="preserve">Sehr geehrte Damen und Herren,
hiermit beantrage ich auf Basis der angegebenen Daten einen Zuschuss im Rahmen des Dingolfinger Anreizprogramms Klimaschutzoffensive und übersende Ihnen den unterschriebenen Förderantrag mit der Bitte um weitere Bearbeitung. Mir ist bewusst, dass alle Voraussetzungen aus den folgenden Blättern und der zugrundeliegenden Förderrichtlinie erfüllt sein müssen, damit der Förderantrag vollständig ist und eine Förderung gewährt werden kann.
</t>
    </r>
    <r>
      <rPr>
        <b/>
        <sz val="11"/>
        <color theme="1"/>
        <rFont val="Calibri"/>
        <family val="2"/>
        <scheme val="minor"/>
      </rPr>
      <t xml:space="preserve">Diesen Förderantrag sende ich unterschrieben per E-Mail (PDF-Format) zusammen mit den erforderlichen Anhängen an </t>
    </r>
    <r>
      <rPr>
        <b/>
        <u/>
        <sz val="11"/>
        <color theme="1"/>
        <rFont val="Calibri"/>
        <family val="2"/>
        <scheme val="minor"/>
      </rPr>
      <t>klimabonus@dingolfing.de</t>
    </r>
    <r>
      <rPr>
        <b/>
        <sz val="11"/>
        <color theme="1"/>
        <rFont val="Calibri"/>
        <family val="2"/>
        <scheme val="minor"/>
      </rPr>
      <t xml:space="preserve">. 
</t>
    </r>
    <r>
      <rPr>
        <sz val="11"/>
        <color theme="1"/>
        <rFont val="Calibri"/>
        <family val="2"/>
        <scheme val="minor"/>
      </rPr>
      <t xml:space="preserve">Folgende Anhänge sind für die Antragstellung notwendig:
</t>
    </r>
    <r>
      <rPr>
        <sz val="11"/>
        <color theme="1"/>
        <rFont val="Calibri"/>
        <family val="2"/>
      </rPr>
      <t/>
    </r>
  </si>
  <si>
    <t>Dieses final ausgefüllte Excel-Antragsformular</t>
  </si>
  <si>
    <t>Angaben zum Fachbetrieb / Energieeffizienzexperten</t>
  </si>
  <si>
    <t>Dieser muss  in der Expertenliste für Förderprogramme des Bundes www.energie-effizienz-experten.de gelistet sein.</t>
  </si>
  <si>
    <t>Im Falle von Maßnahmen in Eigenleistung hat stets der Nachweis der fachgerechten Durchführung inklusive einer eigenständigen Dokumentation durch einen Energieeffizienzexperten zu erfolgen.</t>
  </si>
  <si>
    <t>Zu den förderfähigen Kosten zählen u.a. die Kosten für Anschaffung, Installation und Inbetriebnahme der Anlage bzw. der Maßnahme sowie die Kosten für den Energieeffizienzexperten (Siehe Förderrichtlinie).</t>
  </si>
  <si>
    <t>Die gesamten Fördersummen, welche durch den Antragsteller (in Kombination mit anderen Förderprogrammen) in Anspruch genommen werden, überschreitet nicht die förderfähigen Kosten für die Maßnahme. Eine Bereicherung anhand dieses Förderprogramms findet somit nicht statt.</t>
  </si>
  <si>
    <t>Vorhandenes Heizsystem</t>
  </si>
  <si>
    <t>Summe der beantragen Fördersumme</t>
  </si>
  <si>
    <t>-Maximale Förderhöhe: 50 % d. anr. Kosten</t>
  </si>
  <si>
    <t>Alle Anforderungen erfüllt?</t>
  </si>
  <si>
    <t>1 = erfüllt, 0 = nicht erfüllt</t>
  </si>
  <si>
    <t>Kleinste Fördersumme aktuell:</t>
  </si>
  <si>
    <t>Minimalförderung</t>
  </si>
  <si>
    <t>Summe Minimalförderung</t>
  </si>
  <si>
    <t>Maximale Förderhöhe gemäß förderfähigen Kosten:</t>
  </si>
  <si>
    <t>Finale Fördersumme</t>
  </si>
  <si>
    <t>Grunddaten zur Förderung:</t>
  </si>
  <si>
    <t xml:space="preserve">
3</t>
  </si>
  <si>
    <t>Teil 1 - Fördergegenstand:</t>
  </si>
  <si>
    <t>Teil 2 - Antragsteller:</t>
  </si>
  <si>
    <t>Höhe der gepl. förderfähigen Kosten (Summe Angebote)</t>
  </si>
  <si>
    <t>Teil 3 - Ausführender Fachbetrieb oder begleitender Energieeffizienzexperte:</t>
  </si>
  <si>
    <t>Dachfläche des geplanten, extensiven Gründachs:</t>
  </si>
  <si>
    <t>Anzahl der zu tauschenden Pumpen:</t>
  </si>
  <si>
    <t>Gesamtkosten d. Maßnahme:</t>
  </si>
  <si>
    <t>Der genannte Betrieb ist ein in der Handwerksrolle eingetragener Fachbetrieb bzw. der genannte Energieeffizienzexperte ist in der Expertenliste für Förderprogramme des Bundes www.energie-effizienz-experten.de gelistet.</t>
  </si>
  <si>
    <t>Hiermit wird die Förderung durch das Dingolfinger Anreizprogramm Klimaschutzoffensive beantragt. Der Antragsteller bestätigt mit seiner Unterschrift, dass seine Angaben richtig und vollständig sind und dass die Vorgaben aus der Förderrichtlinie nach bestem Wissen und Gewissen erfüllt werden. Weiterhin stimmt der Antragsteller der Datenverarbeitung durch die Stadt Dingolfing zu und hat die Hinweise zu subventionserheblichen Tatsachen zur Kenntnis genommen. Der ausführende Fachbetrieb bzw. der begleitende Energieeffizienzexperte hat die richtilinienkonforme Durchführung der Maßnahme im Rahmen des Verwendungsnachweises schrifltich zu bestätigen.</t>
  </si>
  <si>
    <t>→</t>
  </si>
  <si>
    <t>Vorhandenes Heizsystem:</t>
  </si>
  <si>
    <t>Förderbar:</t>
  </si>
  <si>
    <t>Nicht förderbar:</t>
  </si>
  <si>
    <t>Bei Ihnen funktioniert die Dropdownliste (Pfeil nach unten mit Auswahlmöglichkeiten) nicht?</t>
  </si>
  <si>
    <t>Ausfüllhilfe für alte Excel-Versionen oder Open-Source-Programme</t>
  </si>
  <si>
    <t>Im folgenden sind die möglichen Eingaben der Dropdown-Liste aufgelistet:</t>
  </si>
  <si>
    <t>(Auswahl je nach Vorauswahl)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</si>
</sst>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00\ &quot;€&quot;"/>
    <numFmt numFmtId="165" formatCode="0.0"/>
    <numFmt numFmtId="166" formatCode="#,##0.00&quot; €&quot;"/>
    <numFmt numFmtId="167" formatCode="#,##0&quot; kWp bzw. kWh&quot;"/>
    <numFmt numFmtId="168" formatCode="#,##0&quot; m²&quot;"/>
    <numFmt numFmtId="169" formatCode="#,##0.0"/>
  </numFmts>
  <fonts count="35" x14ac:knownFonts="1">
    <font>
      <sz val="11"/>
      <color theme="1"/>
      <name val="Calibri"/>
      <family val="2"/>
      <scheme val="minor"/>
    </font>
    <font>
      <b/>
      <sz val="11"/>
      <color theme="1"/>
      <name val="Calibri"/>
      <family val="2"/>
      <scheme val="minor"/>
    </font>
    <font>
      <sz val="9"/>
      <color theme="1"/>
      <name val="Calibri"/>
      <family val="2"/>
      <scheme val="minor"/>
    </font>
    <font>
      <sz val="28"/>
      <color theme="1"/>
      <name val="Times New Roman"/>
      <family val="1"/>
    </font>
    <font>
      <sz val="16"/>
      <color theme="1"/>
      <name val="Calibri"/>
      <family val="2"/>
    </font>
    <font>
      <sz val="8"/>
      <color theme="1"/>
      <name val="Calibri"/>
      <family val="2"/>
      <scheme val="minor"/>
    </font>
    <font>
      <sz val="12"/>
      <color theme="1"/>
      <name val="Times New Roman"/>
      <family val="1"/>
    </font>
    <font>
      <sz val="11"/>
      <color theme="1"/>
      <name val="Calibri"/>
      <family val="2"/>
    </font>
    <font>
      <sz val="11"/>
      <color theme="1"/>
      <name val="Wingdings"/>
      <charset val="2"/>
    </font>
    <font>
      <u/>
      <sz val="11"/>
      <color theme="10"/>
      <name val="Calibri"/>
      <family val="2"/>
      <scheme val="minor"/>
    </font>
    <font>
      <sz val="11"/>
      <color theme="1"/>
      <name val="Calibri"/>
      <family val="2"/>
      <scheme val="minor"/>
    </font>
    <font>
      <b/>
      <u/>
      <sz val="11"/>
      <color theme="1"/>
      <name val="Calibri"/>
      <family val="2"/>
      <scheme val="minor"/>
    </font>
    <font>
      <u/>
      <sz val="14"/>
      <color theme="1"/>
      <name val="Calibri"/>
      <family val="2"/>
      <scheme val="minor"/>
    </font>
    <font>
      <b/>
      <sz val="22"/>
      <color theme="1"/>
      <name val="Calibri"/>
      <family val="2"/>
      <scheme val="minor"/>
    </font>
    <font>
      <b/>
      <sz val="11"/>
      <color rgb="FFC00000"/>
      <name val="Calibri"/>
      <family val="2"/>
      <scheme val="minor"/>
    </font>
    <font>
      <b/>
      <sz val="14"/>
      <color theme="1"/>
      <name val="Calibri"/>
      <family val="2"/>
      <scheme val="minor"/>
    </font>
    <font>
      <sz val="14"/>
      <color theme="1"/>
      <name val="Calibri"/>
      <family val="2"/>
      <scheme val="minor"/>
    </font>
    <font>
      <b/>
      <sz val="11"/>
      <color theme="0" tint="-0.34998626667073579"/>
      <name val="Calibri"/>
      <family val="2"/>
      <scheme val="minor"/>
    </font>
    <font>
      <sz val="11"/>
      <color theme="0" tint="-0.34998626667073579"/>
      <name val="Calibri"/>
      <family val="2"/>
      <scheme val="minor"/>
    </font>
    <font>
      <b/>
      <sz val="18"/>
      <color theme="1"/>
      <name val="Calibri"/>
      <family val="2"/>
      <scheme val="minor"/>
    </font>
    <font>
      <sz val="11"/>
      <color theme="1"/>
      <name val="Webdings"/>
      <family val="1"/>
      <charset val="2"/>
    </font>
    <font>
      <i/>
      <sz val="11"/>
      <color theme="1"/>
      <name val="Calibri"/>
      <family val="2"/>
      <scheme val="minor"/>
    </font>
    <font>
      <b/>
      <sz val="8"/>
      <color theme="1"/>
      <name val="Calibri"/>
      <family val="2"/>
      <scheme val="minor"/>
    </font>
    <font>
      <b/>
      <i/>
      <sz val="11"/>
      <color theme="1"/>
      <name val="Calibri"/>
      <family val="2"/>
      <scheme val="minor"/>
    </font>
    <font>
      <sz val="11"/>
      <color theme="0" tint="-4.9989318521683403E-2"/>
      <name val="Calibri"/>
      <family val="2"/>
      <scheme val="minor"/>
    </font>
    <font>
      <sz val="11"/>
      <color theme="1"/>
      <name val="Wingdings 2"/>
      <family val="1"/>
      <charset val="2"/>
    </font>
    <font>
      <sz val="18"/>
      <color theme="1"/>
      <name val="Wingdings 2"/>
      <family val="1"/>
      <charset val="2"/>
    </font>
    <font>
      <sz val="11"/>
      <name val="Calibri"/>
      <family val="2"/>
      <scheme val="minor"/>
    </font>
    <font>
      <i/>
      <sz val="11"/>
      <name val="Calibri"/>
      <family val="2"/>
      <scheme val="minor"/>
    </font>
    <font>
      <sz val="11"/>
      <color rgb="FFC00000"/>
      <name val="Calibri"/>
      <family val="2"/>
      <scheme val="minor"/>
    </font>
    <font>
      <sz val="11"/>
      <color theme="0" tint="-0.249977111117893"/>
      <name val="Calibri"/>
      <family val="2"/>
      <scheme val="minor"/>
    </font>
    <font>
      <b/>
      <sz val="11"/>
      <name val="Calibri"/>
      <family val="2"/>
      <scheme val="minor"/>
    </font>
    <font>
      <b/>
      <sz val="26"/>
      <color theme="1"/>
      <name val="Calibri"/>
      <family val="2"/>
      <scheme val="minor"/>
    </font>
    <font>
      <b/>
      <u/>
      <sz val="14"/>
      <color theme="1"/>
      <name val="Calibri"/>
      <family val="2"/>
      <scheme val="minor"/>
    </font>
    <font>
      <b/>
      <sz val="11"/>
      <color theme="9" tint="-0.249977111117893"/>
      <name val="Calibri"/>
      <family val="2"/>
      <scheme val="minor"/>
    </font>
  </fonts>
  <fills count="11">
    <fill>
      <patternFill patternType="none"/>
    </fill>
    <fill>
      <patternFill patternType="gray125"/>
    </fill>
    <fill>
      <patternFill patternType="solid">
        <fgColor them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2" tint="-9.9978637043366805E-2"/>
        <bgColor indexed="64"/>
      </patternFill>
    </fill>
  </fills>
  <borders count="1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9" fillId="0" borderId="0" applyNumberFormat="0" applyFill="0" applyBorder="0" applyAlignment="0" applyProtection="0"/>
    <xf numFmtId="44" fontId="10" fillId="0" borderId="0" applyFont="0" applyFill="0" applyBorder="0" applyAlignment="0" applyProtection="0"/>
  </cellStyleXfs>
  <cellXfs count="208">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xf numFmtId="0" fontId="5" fillId="0" borderId="0" xfId="0" applyFont="1" applyAlignment="1">
      <alignment horizontal="left" vertical="center"/>
    </xf>
    <xf numFmtId="0" fontId="6"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0" fillId="0" borderId="0" xfId="0" applyFont="1"/>
    <xf numFmtId="0" fontId="0" fillId="0" borderId="0" xfId="0" applyFont="1" applyAlignment="1">
      <alignment horizontal="left" vertical="top"/>
    </xf>
    <xf numFmtId="0" fontId="1" fillId="0" borderId="0" xfId="0" applyFont="1"/>
    <xf numFmtId="0" fontId="0" fillId="0" borderId="0" xfId="0" applyFont="1" applyAlignment="1">
      <alignment horizontal="left" vertical="center"/>
    </xf>
    <xf numFmtId="0" fontId="0" fillId="0" borderId="4" xfId="0" applyFont="1" applyBorder="1"/>
    <xf numFmtId="0" fontId="8" fillId="0" borderId="0" xfId="0" applyFont="1" applyAlignment="1">
      <alignment horizontal="left" vertical="center"/>
    </xf>
    <xf numFmtId="0" fontId="9" fillId="0" borderId="0" xfId="1" applyAlignment="1">
      <alignment horizontal="left" vertical="top"/>
    </xf>
    <xf numFmtId="0" fontId="0" fillId="0" borderId="0" xfId="0" applyAlignment="1">
      <alignment horizontal="left"/>
    </xf>
    <xf numFmtId="0" fontId="1" fillId="4" borderId="5" xfId="0" applyFont="1" applyFill="1" applyBorder="1"/>
    <xf numFmtId="0" fontId="0" fillId="4" borderId="6" xfId="0" applyFill="1" applyBorder="1"/>
    <xf numFmtId="0" fontId="0" fillId="4" borderId="7" xfId="0" applyFill="1" applyBorder="1"/>
    <xf numFmtId="0" fontId="13" fillId="0" borderId="0" xfId="0" applyFont="1"/>
    <xf numFmtId="0" fontId="0" fillId="4" borderId="5" xfId="0" applyFill="1" applyBorder="1"/>
    <xf numFmtId="0" fontId="0" fillId="5" borderId="5" xfId="0" applyFill="1" applyBorder="1"/>
    <xf numFmtId="0" fontId="0" fillId="0" borderId="0" xfId="0" applyBorder="1"/>
    <xf numFmtId="164" fontId="1" fillId="0" borderId="0" xfId="2" applyNumberFormat="1" applyFont="1" applyBorder="1" applyAlignment="1">
      <alignment horizontal="left"/>
    </xf>
    <xf numFmtId="0" fontId="1" fillId="4" borderId="8" xfId="0" applyFont="1" applyFill="1" applyBorder="1"/>
    <xf numFmtId="0" fontId="18" fillId="0" borderId="0" xfId="0" applyFont="1"/>
    <xf numFmtId="0" fontId="1" fillId="4" borderId="12" xfId="0" applyFont="1" applyFill="1" applyBorder="1"/>
    <xf numFmtId="0" fontId="0" fillId="4" borderId="14" xfId="0" applyFill="1" applyBorder="1"/>
    <xf numFmtId="0" fontId="0" fillId="4" borderId="15" xfId="0" applyFill="1" applyBorder="1"/>
    <xf numFmtId="0" fontId="0" fillId="4" borderId="0" xfId="0" applyFill="1" applyBorder="1"/>
    <xf numFmtId="0" fontId="0" fillId="4" borderId="16" xfId="0" applyFill="1" applyBorder="1"/>
    <xf numFmtId="0" fontId="0" fillId="4" borderId="17" xfId="0" applyFill="1" applyBorder="1"/>
    <xf numFmtId="0" fontId="0" fillId="4" borderId="4" xfId="0" applyFill="1" applyBorder="1"/>
    <xf numFmtId="0" fontId="0" fillId="4" borderId="18" xfId="0" applyFill="1" applyBorder="1"/>
    <xf numFmtId="0" fontId="0" fillId="4" borderId="9" xfId="0" applyFill="1" applyBorder="1"/>
    <xf numFmtId="0" fontId="0" fillId="4" borderId="10" xfId="0" applyFill="1" applyBorder="1"/>
    <xf numFmtId="0" fontId="1" fillId="4" borderId="9" xfId="0" applyFont="1" applyFill="1" applyBorder="1"/>
    <xf numFmtId="0" fontId="1" fillId="4" borderId="10" xfId="0" applyFont="1" applyFill="1" applyBorder="1"/>
    <xf numFmtId="0" fontId="1" fillId="4" borderId="11" xfId="0" applyFont="1" applyFill="1" applyBorder="1"/>
    <xf numFmtId="0" fontId="0" fillId="0" borderId="0" xfId="0" quotePrefix="1" applyAlignment="1">
      <alignment horizontal="right"/>
    </xf>
    <xf numFmtId="0" fontId="1" fillId="0" borderId="0" xfId="0" applyFont="1" applyAlignment="1">
      <alignment horizontal="left" vertical="center"/>
    </xf>
    <xf numFmtId="0" fontId="2" fillId="0" borderId="0" xfId="0" applyFont="1" applyAlignment="1">
      <alignment horizontal="left"/>
    </xf>
    <xf numFmtId="0" fontId="1" fillId="4" borderId="13" xfId="0" applyFont="1" applyFill="1" applyBorder="1"/>
    <xf numFmtId="0" fontId="1" fillId="4" borderId="14" xfId="0" applyFont="1" applyFill="1" applyBorder="1"/>
    <xf numFmtId="0" fontId="0" fillId="4" borderId="0" xfId="0" applyFont="1" applyFill="1" applyBorder="1"/>
    <xf numFmtId="0" fontId="18" fillId="4" borderId="0" xfId="0" applyFont="1" applyFill="1" applyBorder="1" applyAlignment="1">
      <alignment horizontal="right"/>
    </xf>
    <xf numFmtId="0" fontId="1" fillId="4" borderId="0" xfId="0" applyFont="1" applyFill="1" applyBorder="1"/>
    <xf numFmtId="0" fontId="0" fillId="4" borderId="0" xfId="0" applyFill="1" applyBorder="1" applyAlignment="1">
      <alignment horizontal="right"/>
    </xf>
    <xf numFmtId="0" fontId="0" fillId="4" borderId="16" xfId="0" applyFill="1" applyBorder="1" applyAlignment="1">
      <alignment horizontal="left"/>
    </xf>
    <xf numFmtId="0" fontId="0" fillId="4" borderId="4" xfId="0" applyFill="1" applyBorder="1" applyAlignment="1">
      <alignment horizontal="right"/>
    </xf>
    <xf numFmtId="0" fontId="0" fillId="4" borderId="4" xfId="0" applyFont="1" applyFill="1" applyBorder="1"/>
    <xf numFmtId="0" fontId="18" fillId="4" borderId="4" xfId="0" applyFont="1" applyFill="1" applyBorder="1" applyAlignment="1">
      <alignment horizontal="right"/>
    </xf>
    <xf numFmtId="3" fontId="0" fillId="4" borderId="18" xfId="0" applyNumberFormat="1" applyFill="1" applyBorder="1"/>
    <xf numFmtId="0" fontId="17" fillId="4" borderId="10" xfId="0" applyFont="1" applyFill="1" applyBorder="1"/>
    <xf numFmtId="0" fontId="1" fillId="4" borderId="6" xfId="0" applyFont="1" applyFill="1" applyBorder="1"/>
    <xf numFmtId="0" fontId="1" fillId="4" borderId="7" xfId="0" applyFont="1" applyFill="1" applyBorder="1"/>
    <xf numFmtId="0" fontId="0" fillId="4" borderId="18" xfId="0" applyFill="1" applyBorder="1" applyAlignment="1">
      <alignment horizontal="left"/>
    </xf>
    <xf numFmtId="0" fontId="19" fillId="0" borderId="0" xfId="0" applyFont="1"/>
    <xf numFmtId="0" fontId="11" fillId="5" borderId="0" xfId="0" applyFont="1" applyFill="1" applyBorder="1"/>
    <xf numFmtId="0" fontId="0" fillId="5" borderId="0" xfId="0" applyFill="1" applyBorder="1"/>
    <xf numFmtId="0" fontId="0" fillId="5" borderId="0" xfId="0" applyFill="1" applyBorder="1" applyAlignment="1"/>
    <xf numFmtId="0" fontId="0" fillId="5" borderId="16" xfId="0" applyFill="1" applyBorder="1"/>
    <xf numFmtId="0" fontId="0" fillId="4" borderId="16" xfId="0" applyFill="1" applyBorder="1" applyAlignment="1">
      <alignment horizontal="right"/>
    </xf>
    <xf numFmtId="0" fontId="0" fillId="5" borderId="4" xfId="0" applyFill="1" applyBorder="1" applyAlignment="1"/>
    <xf numFmtId="0" fontId="0" fillId="5" borderId="4" xfId="0" applyFill="1" applyBorder="1"/>
    <xf numFmtId="0" fontId="0" fillId="5" borderId="18" xfId="0" applyFill="1" applyBorder="1"/>
    <xf numFmtId="0" fontId="0" fillId="0" borderId="0" xfId="0" applyFont="1" applyAlignment="1">
      <alignment horizontal="left"/>
    </xf>
    <xf numFmtId="0" fontId="0" fillId="0" borderId="0" xfId="0" applyFont="1" applyAlignment="1">
      <alignment horizontal="left" vertical="center" wrapText="1"/>
    </xf>
    <xf numFmtId="0" fontId="14" fillId="0" borderId="0" xfId="0" applyFont="1" applyAlignment="1">
      <alignment horizontal="left" vertical="top"/>
    </xf>
    <xf numFmtId="0" fontId="17" fillId="4" borderId="13" xfId="0" applyFont="1" applyFill="1" applyBorder="1" applyAlignment="1">
      <alignment horizontal="right"/>
    </xf>
    <xf numFmtId="0" fontId="0" fillId="4" borderId="8" xfId="0" applyFill="1" applyBorder="1"/>
    <xf numFmtId="0" fontId="0" fillId="0" borderId="0" xfId="0" applyFont="1" applyAlignment="1">
      <alignment vertical="center"/>
    </xf>
    <xf numFmtId="0" fontId="14" fillId="0" borderId="0" xfId="0" applyFont="1"/>
    <xf numFmtId="0" fontId="20" fillId="0" borderId="0" xfId="0" applyFont="1" applyAlignment="1">
      <alignment horizontal="right" vertical="center"/>
    </xf>
    <xf numFmtId="0" fontId="6" fillId="0" borderId="0" xfId="0" applyFont="1" applyAlignment="1">
      <alignment horizontal="left" vertical="center"/>
    </xf>
    <xf numFmtId="0" fontId="8" fillId="0" borderId="4" xfId="0" applyFont="1" applyBorder="1" applyAlignment="1">
      <alignment horizontal="left"/>
    </xf>
    <xf numFmtId="0" fontId="11" fillId="6" borderId="15" xfId="0" applyFont="1" applyFill="1" applyBorder="1"/>
    <xf numFmtId="0" fontId="0" fillId="6" borderId="15" xfId="0" applyFill="1" applyBorder="1"/>
    <xf numFmtId="0" fontId="0" fillId="6" borderId="16" xfId="0" applyFill="1" applyBorder="1"/>
    <xf numFmtId="0" fontId="0" fillId="6" borderId="6" xfId="0" applyFill="1" applyBorder="1"/>
    <xf numFmtId="0" fontId="0" fillId="6" borderId="15" xfId="0" applyFill="1" applyBorder="1" applyAlignment="1"/>
    <xf numFmtId="166" fontId="0" fillId="6" borderId="15" xfId="0" applyNumberFormat="1" applyFill="1" applyBorder="1"/>
    <xf numFmtId="0" fontId="0" fillId="6" borderId="17" xfId="0" applyFill="1" applyBorder="1" applyAlignment="1"/>
    <xf numFmtId="166" fontId="0" fillId="6" borderId="17" xfId="0" applyNumberFormat="1" applyFill="1" applyBorder="1"/>
    <xf numFmtId="0" fontId="0" fillId="6" borderId="18" xfId="0" applyFill="1" applyBorder="1"/>
    <xf numFmtId="0" fontId="0" fillId="6" borderId="15" xfId="0" quotePrefix="1" applyFill="1" applyBorder="1"/>
    <xf numFmtId="0" fontId="0" fillId="6" borderId="6" xfId="0" applyFill="1" applyBorder="1" applyAlignment="1">
      <alignment horizontal="center"/>
    </xf>
    <xf numFmtId="166" fontId="0" fillId="6" borderId="6" xfId="0" applyNumberFormat="1" applyFill="1" applyBorder="1" applyAlignment="1">
      <alignment horizontal="center"/>
    </xf>
    <xf numFmtId="166" fontId="0" fillId="6" borderId="7" xfId="0" applyNumberFormat="1" applyFill="1" applyBorder="1" applyAlignment="1">
      <alignment horizontal="center"/>
    </xf>
    <xf numFmtId="0" fontId="1" fillId="4" borderId="9" xfId="0" applyFont="1" applyFill="1" applyBorder="1" applyAlignment="1">
      <alignment vertical="center" wrapText="1"/>
    </xf>
    <xf numFmtId="0" fontId="1" fillId="4" borderId="5" xfId="0" applyFont="1" applyFill="1" applyBorder="1" applyAlignment="1">
      <alignment horizontal="center" vertical="center" wrapText="1"/>
    </xf>
    <xf numFmtId="0" fontId="1" fillId="0" borderId="0" xfId="2" applyNumberFormat="1" applyFont="1" applyBorder="1" applyAlignment="1">
      <alignment horizontal="left"/>
    </xf>
    <xf numFmtId="14" fontId="5" fillId="4" borderId="0" xfId="0" applyNumberFormat="1" applyFont="1" applyFill="1" applyBorder="1" applyAlignment="1">
      <alignment horizontal="left" vertical="center"/>
    </xf>
    <xf numFmtId="0" fontId="5" fillId="4" borderId="0" xfId="0" applyFont="1" applyFill="1" applyBorder="1" applyAlignment="1">
      <alignment horizontal="left" vertical="center"/>
    </xf>
    <xf numFmtId="0" fontId="22" fillId="4"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16" fillId="7" borderId="5" xfId="0" applyFont="1" applyFill="1" applyBorder="1" applyAlignment="1" applyProtection="1">
      <alignment vertical="center"/>
      <protection locked="0"/>
    </xf>
    <xf numFmtId="0" fontId="0" fillId="7" borderId="5" xfId="0" applyFont="1" applyFill="1" applyBorder="1" applyAlignment="1" applyProtection="1">
      <alignment vertical="center"/>
      <protection locked="0"/>
    </xf>
    <xf numFmtId="0" fontId="15" fillId="4" borderId="9" xfId="0" applyFont="1" applyFill="1" applyBorder="1" applyAlignment="1">
      <alignment vertical="center"/>
    </xf>
    <xf numFmtId="0" fontId="0" fillId="4" borderId="10" xfId="0" applyFill="1" applyBorder="1" applyAlignment="1">
      <alignment vertical="center"/>
    </xf>
    <xf numFmtId="0" fontId="12" fillId="4" borderId="12" xfId="0" applyFont="1" applyFill="1" applyBorder="1"/>
    <xf numFmtId="0" fontId="0" fillId="4" borderId="13" xfId="0" applyFill="1" applyBorder="1"/>
    <xf numFmtId="0" fontId="1" fillId="4" borderId="13" xfId="0" applyFont="1" applyFill="1" applyBorder="1" applyAlignment="1">
      <alignment horizontal="right"/>
    </xf>
    <xf numFmtId="0" fontId="1" fillId="4" borderId="0" xfId="0" applyFont="1" applyFill="1" applyBorder="1" applyAlignment="1">
      <alignment horizontal="right"/>
    </xf>
    <xf numFmtId="164" fontId="1" fillId="4" borderId="0" xfId="2" applyNumberFormat="1" applyFont="1" applyFill="1" applyBorder="1" applyAlignment="1">
      <alignment horizontal="left"/>
    </xf>
    <xf numFmtId="166" fontId="0" fillId="4" borderId="0" xfId="0" applyNumberFormat="1" applyFill="1" applyBorder="1" applyAlignment="1">
      <alignment horizontal="left"/>
    </xf>
    <xf numFmtId="0" fontId="0" fillId="4" borderId="0" xfId="0" quotePrefix="1" applyFill="1" applyBorder="1"/>
    <xf numFmtId="0" fontId="1" fillId="4" borderId="16" xfId="0" applyFont="1" applyFill="1" applyBorder="1"/>
    <xf numFmtId="164" fontId="10" fillId="4" borderId="0" xfId="2" applyNumberFormat="1" applyFont="1" applyFill="1" applyBorder="1" applyAlignment="1">
      <alignment horizontal="left"/>
    </xf>
    <xf numFmtId="167" fontId="0" fillId="4" borderId="0" xfId="0" applyNumberFormat="1" applyFill="1" applyBorder="1" applyAlignment="1">
      <alignment horizontal="left"/>
    </xf>
    <xf numFmtId="165" fontId="0" fillId="7" borderId="5" xfId="0" applyNumberFormat="1" applyFill="1" applyBorder="1" applyAlignment="1" applyProtection="1">
      <alignment horizontal="left"/>
      <protection locked="0"/>
    </xf>
    <xf numFmtId="0" fontId="0" fillId="7" borderId="5" xfId="0" applyFill="1" applyBorder="1" applyAlignment="1" applyProtection="1">
      <alignment horizontal="left"/>
      <protection locked="0"/>
    </xf>
    <xf numFmtId="0" fontId="0" fillId="7" borderId="5" xfId="0" applyFill="1" applyBorder="1" applyProtection="1">
      <protection locked="0"/>
    </xf>
    <xf numFmtId="0" fontId="21" fillId="4" borderId="0" xfId="0" applyFont="1" applyFill="1" applyBorder="1"/>
    <xf numFmtId="0" fontId="21" fillId="4" borderId="0" xfId="0" quotePrefix="1" applyFont="1" applyFill="1" applyBorder="1" applyAlignment="1">
      <alignment vertical="top"/>
    </xf>
    <xf numFmtId="0" fontId="12" fillId="4" borderId="15" xfId="0" applyFont="1" applyFill="1" applyBorder="1"/>
    <xf numFmtId="0" fontId="1" fillId="4" borderId="15" xfId="0" applyFont="1" applyFill="1" applyBorder="1"/>
    <xf numFmtId="14" fontId="0" fillId="7" borderId="5" xfId="0" applyNumberFormat="1" applyFill="1" applyBorder="1" applyAlignment="1" applyProtection="1">
      <alignment horizontal="left"/>
      <protection locked="0"/>
    </xf>
    <xf numFmtId="0" fontId="9" fillId="7" borderId="5" xfId="1" applyFill="1" applyBorder="1" applyProtection="1">
      <protection locked="0"/>
    </xf>
    <xf numFmtId="49" fontId="0" fillId="7" borderId="5" xfId="0" applyNumberFormat="1" applyFill="1" applyBorder="1" applyProtection="1">
      <protection locked="0"/>
    </xf>
    <xf numFmtId="0" fontId="21" fillId="4" borderId="0" xfId="0" quotePrefix="1" applyFont="1" applyFill="1" applyBorder="1"/>
    <xf numFmtId="166" fontId="21" fillId="4" borderId="0" xfId="0" applyNumberFormat="1" applyFont="1" applyFill="1" applyBorder="1" applyAlignment="1">
      <alignment horizontal="left"/>
    </xf>
    <xf numFmtId="0" fontId="21" fillId="4" borderId="16" xfId="0" applyFont="1" applyFill="1" applyBorder="1"/>
    <xf numFmtId="0" fontId="24" fillId="4" borderId="4" xfId="0" applyFont="1" applyFill="1" applyBorder="1"/>
    <xf numFmtId="2" fontId="24" fillId="4" borderId="4" xfId="2" applyNumberFormat="1" applyFont="1" applyFill="1" applyBorder="1" applyAlignment="1">
      <alignment horizontal="left"/>
    </xf>
    <xf numFmtId="0" fontId="24" fillId="4" borderId="18" xfId="0" applyFont="1" applyFill="1" applyBorder="1"/>
    <xf numFmtId="168" fontId="0" fillId="4" borderId="0" xfId="0" applyNumberFormat="1" applyFill="1" applyBorder="1" applyAlignment="1">
      <alignment horizontal="left"/>
    </xf>
    <xf numFmtId="0" fontId="0" fillId="3" borderId="0" xfId="0" applyFont="1" applyFill="1" applyAlignment="1">
      <alignment vertical="center"/>
    </xf>
    <xf numFmtId="0" fontId="0" fillId="4" borderId="0" xfId="0" applyFill="1" applyBorder="1" applyAlignment="1">
      <alignment wrapText="1"/>
    </xf>
    <xf numFmtId="0" fontId="0" fillId="0" borderId="0" xfId="0" applyFont="1" applyAlignment="1">
      <alignment vertical="top"/>
    </xf>
    <xf numFmtId="0" fontId="1" fillId="4" borderId="17" xfId="0" applyFont="1" applyFill="1" applyBorder="1"/>
    <xf numFmtId="0" fontId="1" fillId="8" borderId="12" xfId="0" applyFont="1" applyFill="1" applyBorder="1"/>
    <xf numFmtId="0" fontId="1" fillId="8" borderId="13" xfId="0" applyFont="1" applyFill="1" applyBorder="1"/>
    <xf numFmtId="0" fontId="1" fillId="8" borderId="14" xfId="0" applyFont="1" applyFill="1" applyBorder="1"/>
    <xf numFmtId="0" fontId="25" fillId="0" borderId="0" xfId="0" applyFont="1"/>
    <xf numFmtId="0" fontId="25" fillId="0" borderId="0" xfId="0" applyFont="1" applyAlignment="1">
      <alignment horizontal="right" vertical="center"/>
    </xf>
    <xf numFmtId="0" fontId="25" fillId="0" borderId="0" xfId="0" applyFont="1" applyAlignment="1">
      <alignment horizontal="right" vertical="top"/>
    </xf>
    <xf numFmtId="0" fontId="26" fillId="0" borderId="0" xfId="0" applyFont="1" applyAlignment="1">
      <alignment horizontal="right" vertical="center"/>
    </xf>
    <xf numFmtId="0" fontId="27" fillId="4" borderId="16" xfId="0" applyFont="1" applyFill="1" applyBorder="1"/>
    <xf numFmtId="0" fontId="27" fillId="4" borderId="16" xfId="0" applyFont="1" applyFill="1" applyBorder="1" applyAlignment="1">
      <alignment horizontal="left" vertical="top"/>
    </xf>
    <xf numFmtId="164" fontId="10" fillId="7" borderId="5" xfId="2" applyNumberFormat="1" applyFont="1" applyFill="1" applyBorder="1" applyAlignment="1" applyProtection="1">
      <alignment horizontal="left"/>
      <protection locked="0"/>
    </xf>
    <xf numFmtId="164" fontId="10" fillId="0" borderId="0" xfId="2" applyNumberFormat="1" applyFont="1" applyBorder="1" applyAlignment="1">
      <alignment horizontal="left"/>
    </xf>
    <xf numFmtId="164" fontId="24" fillId="4" borderId="0" xfId="2" applyNumberFormat="1" applyFont="1" applyFill="1" applyBorder="1" applyAlignment="1">
      <alignment horizontal="left"/>
    </xf>
    <xf numFmtId="0" fontId="24" fillId="4" borderId="0" xfId="0" applyFont="1" applyFill="1" applyBorder="1"/>
    <xf numFmtId="0" fontId="24" fillId="4" borderId="16" xfId="0" applyFont="1" applyFill="1" applyBorder="1"/>
    <xf numFmtId="0" fontId="30" fillId="4" borderId="16" xfId="0" applyFont="1" applyFill="1" applyBorder="1"/>
    <xf numFmtId="0" fontId="30" fillId="4" borderId="4" xfId="0" applyFont="1" applyFill="1" applyBorder="1"/>
    <xf numFmtId="164" fontId="30" fillId="4" borderId="4" xfId="2" applyNumberFormat="1" applyFont="1" applyFill="1" applyBorder="1" applyAlignment="1">
      <alignment horizontal="left"/>
    </xf>
    <xf numFmtId="0" fontId="31" fillId="4" borderId="0" xfId="0" quotePrefix="1" applyFont="1" applyFill="1" applyBorder="1"/>
    <xf numFmtId="2" fontId="24" fillId="4" borderId="18" xfId="2" applyNumberFormat="1" applyFont="1" applyFill="1" applyBorder="1" applyAlignment="1">
      <alignment horizontal="left"/>
    </xf>
    <xf numFmtId="0" fontId="0" fillId="4" borderId="13" xfId="0" applyFill="1" applyBorder="1" applyAlignment="1">
      <alignment horizontal="right"/>
    </xf>
    <xf numFmtId="0" fontId="0" fillId="9" borderId="9" xfId="0" applyFill="1" applyBorder="1"/>
    <xf numFmtId="0" fontId="0" fillId="9" borderId="10" xfId="0" applyFill="1" applyBorder="1"/>
    <xf numFmtId="0" fontId="0" fillId="9" borderId="11" xfId="0" applyFill="1" applyBorder="1"/>
    <xf numFmtId="0" fontId="29" fillId="4" borderId="16" xfId="0" applyFont="1" applyFill="1" applyBorder="1"/>
    <xf numFmtId="0" fontId="14" fillId="4" borderId="0" xfId="0" applyFont="1" applyFill="1" applyBorder="1" applyAlignment="1">
      <alignment horizontal="left"/>
    </xf>
    <xf numFmtId="0" fontId="15" fillId="4" borderId="12" xfId="0" applyFont="1" applyFill="1" applyBorder="1"/>
    <xf numFmtId="0" fontId="28" fillId="4" borderId="4" xfId="0" applyFont="1" applyFill="1" applyBorder="1" applyAlignment="1">
      <alignment vertical="top"/>
    </xf>
    <xf numFmtId="0" fontId="32" fillId="7" borderId="5" xfId="0" applyFont="1" applyFill="1" applyBorder="1" applyAlignment="1">
      <alignment horizontal="center" vertical="center"/>
    </xf>
    <xf numFmtId="164" fontId="24" fillId="4" borderId="0" xfId="0" applyNumberFormat="1" applyFont="1" applyFill="1" applyBorder="1" applyAlignment="1">
      <alignment horizontal="left"/>
    </xf>
    <xf numFmtId="1" fontId="0" fillId="7" borderId="5" xfId="0" applyNumberFormat="1" applyFill="1" applyBorder="1" applyAlignment="1" applyProtection="1">
      <alignment horizontal="left"/>
      <protection locked="0"/>
    </xf>
    <xf numFmtId="0" fontId="0" fillId="10" borderId="0" xfId="0" applyFill="1" applyBorder="1"/>
    <xf numFmtId="0" fontId="0" fillId="10" borderId="0" xfId="0" applyFont="1" applyFill="1" applyBorder="1"/>
    <xf numFmtId="2" fontId="10" fillId="10" borderId="0" xfId="2" applyNumberFormat="1" applyFont="1" applyFill="1" applyBorder="1" applyAlignment="1">
      <alignment horizontal="left"/>
    </xf>
    <xf numFmtId="0" fontId="0" fillId="10" borderId="16" xfId="0" applyFill="1" applyBorder="1"/>
    <xf numFmtId="0" fontId="33" fillId="4" borderId="13" xfId="0" applyFont="1" applyFill="1" applyBorder="1"/>
    <xf numFmtId="0" fontId="0" fillId="4" borderId="11" xfId="0" applyFill="1" applyBorder="1"/>
    <xf numFmtId="169" fontId="0" fillId="7" borderId="5" xfId="0" applyNumberFormat="1" applyFill="1" applyBorder="1" applyAlignment="1" applyProtection="1">
      <alignment horizontal="left"/>
      <protection locked="0"/>
    </xf>
    <xf numFmtId="1" fontId="0" fillId="4" borderId="18" xfId="0" applyNumberFormat="1" applyFill="1" applyBorder="1" applyAlignment="1">
      <alignment horizontal="left"/>
    </xf>
    <xf numFmtId="0" fontId="0" fillId="7" borderId="5" xfId="0" applyFill="1" applyBorder="1" applyAlignment="1" applyProtection="1">
      <alignment vertical="center"/>
      <protection locked="0"/>
    </xf>
    <xf numFmtId="0" fontId="1" fillId="0" borderId="0" xfId="0" applyFont="1" applyAlignment="1">
      <alignment horizontal="left"/>
    </xf>
    <xf numFmtId="0" fontId="0" fillId="3" borderId="0" xfId="0" applyFont="1" applyFill="1" applyAlignment="1">
      <alignment horizontal="left" vertical="center"/>
    </xf>
    <xf numFmtId="0" fontId="7" fillId="0" borderId="0" xfId="0" applyFont="1" applyAlignment="1">
      <alignment horizontal="center"/>
    </xf>
    <xf numFmtId="0" fontId="34" fillId="0" borderId="0" xfId="0" applyFont="1"/>
    <xf numFmtId="0" fontId="0" fillId="0" borderId="5" xfId="0" applyBorder="1" applyProtection="1">
      <protection locked="0"/>
    </xf>
    <xf numFmtId="0" fontId="1" fillId="0" borderId="8" xfId="0" applyFont="1" applyBorder="1" applyProtection="1">
      <protection locked="0"/>
    </xf>
    <xf numFmtId="0" fontId="1" fillId="0" borderId="13" xfId="0" applyFont="1" applyBorder="1" applyProtection="1">
      <protection locked="0"/>
    </xf>
    <xf numFmtId="0" fontId="0" fillId="0" borderId="8" xfId="0" applyBorder="1" applyProtection="1">
      <protection locked="0"/>
    </xf>
    <xf numFmtId="0" fontId="0" fillId="0" borderId="13" xfId="0" applyBorder="1" applyProtection="1">
      <protection locked="0"/>
    </xf>
    <xf numFmtId="0" fontId="0" fillId="0" borderId="6" xfId="0" applyBorder="1" applyProtection="1">
      <protection locked="0"/>
    </xf>
    <xf numFmtId="0" fontId="0" fillId="0" borderId="0" xfId="0" applyBorder="1" applyProtection="1">
      <protection locked="0"/>
    </xf>
    <xf numFmtId="0" fontId="0" fillId="0" borderId="7" xfId="0" applyBorder="1" applyProtection="1">
      <protection locked="0"/>
    </xf>
    <xf numFmtId="0" fontId="0" fillId="0" borderId="4" xfId="0" applyBorder="1" applyProtection="1">
      <protection locked="0"/>
    </xf>
    <xf numFmtId="0" fontId="2" fillId="0" borderId="0" xfId="0" applyFont="1" applyAlignment="1">
      <alignment horizontal="justify" vertical="top" wrapText="1"/>
    </xf>
    <xf numFmtId="0" fontId="0" fillId="3" borderId="0" xfId="0" applyFont="1" applyFill="1" applyAlignment="1">
      <alignment horizontal="left" vertical="center"/>
    </xf>
    <xf numFmtId="0" fontId="0" fillId="4" borderId="0" xfId="0" applyFont="1" applyFill="1" applyAlignment="1">
      <alignment horizontal="left" vertical="center"/>
    </xf>
    <xf numFmtId="49" fontId="0" fillId="3" borderId="0" xfId="0" applyNumberFormat="1"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justify" vertical="center" wrapText="1"/>
    </xf>
    <xf numFmtId="14" fontId="0" fillId="3" borderId="0" xfId="0" applyNumberFormat="1" applyFont="1" applyFill="1" applyAlignment="1">
      <alignment horizontal="left" vertical="center"/>
    </xf>
    <xf numFmtId="0" fontId="0" fillId="0" borderId="0" xfId="0" applyFont="1" applyAlignment="1">
      <alignment horizontal="justify"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 fillId="0" borderId="0" xfId="0" applyFont="1" applyAlignment="1">
      <alignment horizontal="left" vertical="top" wrapText="1"/>
    </xf>
    <xf numFmtId="0" fontId="32" fillId="7" borderId="8" xfId="0" applyFont="1" applyFill="1" applyBorder="1" applyAlignment="1">
      <alignment horizontal="center" vertical="center"/>
    </xf>
    <xf numFmtId="0" fontId="32" fillId="7" borderId="6" xfId="0" applyFont="1" applyFill="1" applyBorder="1" applyAlignment="1">
      <alignment horizontal="center" vertical="center"/>
    </xf>
    <xf numFmtId="0" fontId="32" fillId="7" borderId="7" xfId="0" applyFont="1" applyFill="1" applyBorder="1" applyAlignment="1">
      <alignment horizontal="center" vertical="center"/>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32" fillId="7" borderId="8" xfId="0" applyFont="1" applyFill="1" applyBorder="1" applyAlignment="1">
      <alignment horizontal="center" vertical="top" wrapText="1"/>
    </xf>
    <xf numFmtId="0" fontId="32" fillId="7" borderId="6" xfId="0" applyFont="1" applyFill="1" applyBorder="1" applyAlignment="1">
      <alignment horizontal="center" vertical="top"/>
    </xf>
    <xf numFmtId="0" fontId="32" fillId="7" borderId="7" xfId="0" applyFont="1" applyFill="1" applyBorder="1" applyAlignment="1">
      <alignment horizontal="center" vertical="top"/>
    </xf>
    <xf numFmtId="0" fontId="1" fillId="4" borderId="9" xfId="0" applyFont="1" applyFill="1" applyBorder="1" applyAlignment="1">
      <alignment horizontal="center" vertical="center"/>
    </xf>
    <xf numFmtId="0" fontId="1" fillId="4" borderId="11" xfId="0" applyFont="1" applyFill="1" applyBorder="1" applyAlignment="1">
      <alignment horizontal="center" vertical="center"/>
    </xf>
  </cellXfs>
  <cellStyles count="3">
    <cellStyle name="Link" xfId="1" builtinId="8"/>
    <cellStyle name="Standard" xfId="0" builtinId="0"/>
    <cellStyle name="Währung" xfId="2" builtinId="4"/>
  </cellStyles>
  <dxfs count="7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b/>
        <i val="0"/>
        <color theme="9" tint="-0.24994659260841701"/>
      </font>
      <fill>
        <patternFill patternType="solid">
          <bgColor theme="0" tint="-4.9989318521683403E-2"/>
        </patternFill>
      </fill>
    </dxf>
    <dxf>
      <font>
        <color rgb="FFC00000"/>
      </font>
      <fill>
        <patternFill>
          <bgColor theme="0" tint="-4.9989318521683403E-2"/>
        </patternFill>
      </fill>
    </dxf>
    <dxf>
      <font>
        <b/>
        <i val="0"/>
        <color theme="9" tint="-0.24994659260841701"/>
      </font>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53074</xdr:colOff>
      <xdr:row>1</xdr:row>
      <xdr:rowOff>104776</xdr:rowOff>
    </xdr:from>
    <xdr:to>
      <xdr:col>8</xdr:col>
      <xdr:colOff>835729</xdr:colOff>
      <xdr:row>8</xdr:row>
      <xdr:rowOff>57150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8024" y="523876"/>
          <a:ext cx="782655" cy="1285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I124"/>
  <sheetViews>
    <sheetView showGridLines="0" view="pageLayout" zoomScale="85" zoomScaleNormal="100" zoomScalePageLayoutView="85" workbookViewId="0">
      <selection activeCell="B94" sqref="B94:I94"/>
    </sheetView>
  </sheetViews>
  <sheetFormatPr baseColWidth="10" defaultColWidth="9.140625" defaultRowHeight="15" x14ac:dyDescent="0.25"/>
  <cols>
    <col min="1" max="1" width="9" customWidth="1"/>
    <col min="2" max="3" width="9.28515625" customWidth="1"/>
    <col min="4" max="4" width="11.5703125" customWidth="1"/>
    <col min="5" max="5" width="7.42578125" customWidth="1"/>
    <col min="6" max="8" width="9.28515625" customWidth="1"/>
    <col min="9" max="9" width="12.85546875" customWidth="1"/>
  </cols>
  <sheetData>
    <row r="1" spans="1:9" ht="33" customHeight="1" x14ac:dyDescent="0.25">
      <c r="A1" s="9"/>
      <c r="B1" s="9"/>
      <c r="C1" s="9"/>
      <c r="D1" s="9"/>
      <c r="E1" s="9"/>
      <c r="F1" s="9"/>
      <c r="G1" s="9"/>
      <c r="H1" s="9"/>
      <c r="I1" s="9"/>
    </row>
    <row r="2" spans="1:9" x14ac:dyDescent="0.25">
      <c r="A2" s="193" t="str">
        <f>Antragsdaten!E102&amp;" "&amp;Antragsdaten!E103&amp;" "&amp;Antragsdaten!E104</f>
        <v xml:space="preserve">  </v>
      </c>
      <c r="B2" s="194"/>
      <c r="C2" s="195"/>
    </row>
    <row r="3" spans="1:9" x14ac:dyDescent="0.25">
      <c r="A3" s="193" t="str">
        <f>Antragsdaten!E105&amp;" "&amp;Antragsdaten!E106</f>
        <v xml:space="preserve"> </v>
      </c>
      <c r="B3" s="194"/>
      <c r="C3" s="195"/>
      <c r="E3" s="9"/>
    </row>
    <row r="4" spans="1:9" x14ac:dyDescent="0.25">
      <c r="A4" s="193" t="str">
        <f>Antragsdaten!E107&amp;" "&amp;Antragsdaten!E108</f>
        <v xml:space="preserve"> </v>
      </c>
      <c r="B4" s="194"/>
      <c r="C4" s="195"/>
      <c r="E4" s="10"/>
    </row>
    <row r="5" spans="1:9" x14ac:dyDescent="0.25">
      <c r="A5" s="5" t="s">
        <v>5</v>
      </c>
    </row>
    <row r="7" spans="1:9" x14ac:dyDescent="0.25">
      <c r="A7" s="1" t="s">
        <v>0</v>
      </c>
    </row>
    <row r="8" spans="1:9" x14ac:dyDescent="0.25">
      <c r="A8" s="1" t="s">
        <v>1</v>
      </c>
    </row>
    <row r="9" spans="1:9" x14ac:dyDescent="0.25">
      <c r="A9" s="1" t="s">
        <v>2</v>
      </c>
    </row>
    <row r="10" spans="1:9" x14ac:dyDescent="0.25">
      <c r="A10" s="1" t="s">
        <v>3</v>
      </c>
      <c r="D10" s="69" t="str">
        <f>IF(Hintergrunddaten!C109&lt;&gt;"OK"=TRUE(),"Achtung: Fehlende oder nicht passende Angaben zum Antragsteller!","")</f>
        <v>Achtung: Fehlende oder nicht passende Angaben zum Antragsteller!</v>
      </c>
    </row>
    <row r="11" spans="1:9" ht="11.25" customHeight="1" x14ac:dyDescent="0.25">
      <c r="A11" s="4"/>
      <c r="D11" s="73" t="str">
        <f>IF(Hintergrunddaten!C113&lt;&gt;"OK"=TRUE(),"Achtung: Fehlende Angaben zum Fachbetrieb/Sachverständigen!","")</f>
        <v>Achtung: Fehlende Angaben zum Fachbetrieb/Sachverständigen!</v>
      </c>
    </row>
    <row r="12" spans="1:9" ht="35.25" x14ac:dyDescent="0.25">
      <c r="A12" s="2" t="s">
        <v>4</v>
      </c>
      <c r="D12" s="69" t="str">
        <f>IF(Hintergrunddaten!C110&lt;&gt;"OK"=TRUE(),"Achtung: Postleitzahl nicht von Dingolfing, keine Förderung möglich!","")</f>
        <v>Achtung: Postleitzahl nicht von Dingolfing, keine Förderung möglich!</v>
      </c>
    </row>
    <row r="13" spans="1:9" ht="21" x14ac:dyDescent="0.25">
      <c r="A13" s="3" t="s">
        <v>7</v>
      </c>
    </row>
    <row r="14" spans="1:9" ht="4.5" customHeight="1" x14ac:dyDescent="0.25">
      <c r="A14" s="9"/>
      <c r="B14" s="9"/>
      <c r="C14" s="9"/>
      <c r="D14" s="9"/>
      <c r="E14" s="9"/>
      <c r="F14" s="9"/>
      <c r="G14" s="9"/>
      <c r="H14" s="9"/>
      <c r="I14" s="9"/>
    </row>
    <row r="15" spans="1:9" x14ac:dyDescent="0.25">
      <c r="A15" s="41" t="s">
        <v>212</v>
      </c>
      <c r="D15" s="171" t="str">
        <f>IF(Antragsdaten!E9="","-",Antragsdaten!E9)</f>
        <v>-</v>
      </c>
    </row>
    <row r="16" spans="1:9" x14ac:dyDescent="0.25">
      <c r="A16" s="41" t="str">
        <f>"Beantragter Fördergegenstand: "</f>
        <v xml:space="preserve">Beantragter Fördergegenstand: </v>
      </c>
      <c r="B16" s="11"/>
      <c r="C16" s="11"/>
      <c r="D16" s="11" t="str">
        <f>IF(Antragsdaten!E6="Bitte wählen","-",VLOOKUP(1,Hintergrunddaten!C66:H94,5,))</f>
        <v>-</v>
      </c>
      <c r="G16" s="11"/>
    </row>
    <row r="17" spans="1:9" ht="4.5" customHeight="1" x14ac:dyDescent="0.25">
      <c r="A17" s="9"/>
      <c r="B17" s="9"/>
      <c r="C17" s="9"/>
      <c r="D17" s="9"/>
      <c r="E17" s="9"/>
      <c r="F17" s="9"/>
      <c r="G17" s="9"/>
      <c r="H17" s="9"/>
      <c r="I17" s="9"/>
    </row>
    <row r="18" spans="1:9" x14ac:dyDescent="0.25">
      <c r="A18" s="40" t="str">
        <f>IF(B18&lt;&gt;" ","-","")</f>
        <v/>
      </c>
      <c r="B18" s="12" t="str">
        <f>IF(D16="-","",IF(VLOOKUP(D16,Hintergrunddaten!B54:E61,2,)=0,"",(VLOOKUP(D16,Hintergrunddaten!B54:E61,2,))))&amp;" "&amp;IF(ISNA(VLOOKUP("1.1",Hintergrunddaten!C66:H95,5,)),"",VLOOKUP("1.1",Hintergrunddaten!C66:H95,5,))</f>
        <v xml:space="preserve"> </v>
      </c>
      <c r="F18" s="42"/>
    </row>
    <row r="19" spans="1:9" x14ac:dyDescent="0.25">
      <c r="A19" s="40" t="str">
        <f>IF(B19&lt;&gt;" ","-","")</f>
        <v/>
      </c>
      <c r="B19" s="12" t="str">
        <f>IF(D16="-","",IF(VLOOKUP(D16,Hintergrunddaten!B54:E61,3,)=0,"",(VLOOKUP(D16,Hintergrunddaten!B54:E61,3,))))&amp;" "&amp;IF(ISNA(VLOOKUP("1.2",Hintergrunddaten!C66:H95,5,)),"",VLOOKUP("1.2",Hintergrunddaten!C66:H95,5,))</f>
        <v xml:space="preserve"> </v>
      </c>
      <c r="F19" s="42"/>
    </row>
    <row r="20" spans="1:9" x14ac:dyDescent="0.25">
      <c r="A20" s="40" t="str">
        <f>IF(B20&lt;&gt;" ","-","")</f>
        <v/>
      </c>
      <c r="B20" s="12" t="str">
        <f>IF(D16="-","",IF(VLOOKUP(D16,Hintergrunddaten!B54:E61,4,)=0,"",(VLOOKUP(D16,Hintergrunddaten!B54:E61,4,))))&amp;" "&amp;IF(ISNA(VLOOKUP("1.3",Hintergrunddaten!C66:H95,5,)),"",VLOOKUP("1.3",Hintergrunddaten!C66:H95,5,))</f>
        <v xml:space="preserve"> </v>
      </c>
      <c r="F20" s="42"/>
    </row>
    <row r="21" spans="1:9" ht="4.5" customHeight="1" x14ac:dyDescent="0.25">
      <c r="A21" s="9"/>
      <c r="B21" s="9"/>
      <c r="C21" s="9"/>
      <c r="D21" s="9"/>
      <c r="E21" s="9"/>
      <c r="F21" s="9"/>
      <c r="G21" s="9"/>
      <c r="H21" s="9"/>
      <c r="I21" s="9"/>
    </row>
    <row r="22" spans="1:9" x14ac:dyDescent="0.25">
      <c r="A22" s="41" t="str">
        <f>"Beantragte Fördersumme: "</f>
        <v xml:space="preserve">Beantragte Fördersumme: </v>
      </c>
      <c r="B22" s="11"/>
      <c r="C22" s="11"/>
      <c r="D22" s="24">
        <f>Hintergrunddaten!C105</f>
        <v>0</v>
      </c>
    </row>
    <row r="23" spans="1:9" x14ac:dyDescent="0.25">
      <c r="A23" s="12" t="s">
        <v>245</v>
      </c>
      <c r="B23" s="9"/>
      <c r="C23" s="9"/>
      <c r="D23" s="142">
        <f>Antragsdaten!E11</f>
        <v>0</v>
      </c>
    </row>
    <row r="24" spans="1:9" x14ac:dyDescent="0.25">
      <c r="A24" s="12" t="str">
        <f>IF(Antragsdaten!H10="OK"=TRUE(),IF(Antragsdaten!E10="Ja","Diese Maßnahme wird in Eigenleistung umgesetzt",""),"Fehlende Angabe")</f>
        <v>Fehlende Angabe</v>
      </c>
      <c r="B24" s="11"/>
      <c r="C24" s="11"/>
      <c r="D24" s="92"/>
    </row>
    <row r="25" spans="1:9" ht="9.75" customHeight="1" x14ac:dyDescent="0.25">
      <c r="A25" s="9"/>
      <c r="B25" s="9"/>
      <c r="C25" s="9"/>
      <c r="D25" s="9"/>
      <c r="E25" s="9"/>
      <c r="F25" s="9"/>
      <c r="G25" s="9"/>
      <c r="H25" s="9"/>
      <c r="I25" s="9"/>
    </row>
    <row r="26" spans="1:9" ht="183.75" customHeight="1" x14ac:dyDescent="0.25">
      <c r="A26" s="192" t="s">
        <v>220</v>
      </c>
      <c r="B26" s="192"/>
      <c r="C26" s="192"/>
      <c r="D26" s="192"/>
      <c r="E26" s="192"/>
      <c r="F26" s="192"/>
      <c r="G26" s="192"/>
      <c r="H26" s="192"/>
      <c r="I26" s="192"/>
    </row>
    <row r="27" spans="1:9" x14ac:dyDescent="0.25">
      <c r="A27" s="136" t="str">
        <f>IF(B27&lt;&gt;"","R","")</f>
        <v>R</v>
      </c>
      <c r="B27" s="72" t="s">
        <v>221</v>
      </c>
      <c r="C27" s="9"/>
      <c r="D27" s="9"/>
      <c r="E27" s="9"/>
      <c r="F27" s="9"/>
      <c r="G27" s="9"/>
      <c r="H27" s="9"/>
      <c r="I27" s="135"/>
    </row>
    <row r="28" spans="1:9" x14ac:dyDescent="0.25">
      <c r="A28" s="136" t="str">
        <f>IF(B28&lt;&gt;"","R","")</f>
        <v/>
      </c>
      <c r="B28" s="72" t="str">
        <f>IF(D16="-","",IF(VLOOKUP(1,Hintergrunddaten!I66:K94,2,)=0,"",VLOOKUP(1,Hintergrunddaten!I66:K94,2,)))</f>
        <v/>
      </c>
      <c r="C28" s="9"/>
      <c r="D28" s="9"/>
      <c r="E28" s="9"/>
      <c r="F28" s="9"/>
      <c r="G28" s="9"/>
      <c r="H28" s="9"/>
      <c r="I28" s="9"/>
    </row>
    <row r="29" spans="1:9" x14ac:dyDescent="0.25">
      <c r="A29" s="136" t="str">
        <f>IF(B29&lt;&gt;"","R","")</f>
        <v/>
      </c>
      <c r="B29" s="72" t="str">
        <f>IF(D16="-","",IF(VLOOKUP(1,Hintergrunddaten!I66:K94,3,)=0,"",VLOOKUP(1,Hintergrunddaten!I66:K94,3,)))</f>
        <v/>
      </c>
      <c r="C29" s="9"/>
      <c r="D29" s="9"/>
      <c r="E29" s="9"/>
      <c r="F29" s="9"/>
      <c r="G29" s="9"/>
      <c r="H29" s="9"/>
      <c r="I29" s="9"/>
    </row>
    <row r="30" spans="1:9" ht="29.25" customHeight="1" x14ac:dyDescent="0.25">
      <c r="A30" s="137" t="str">
        <f>IF(B30&lt;&gt;"","R","")</f>
        <v/>
      </c>
      <c r="B30" s="130" t="str">
        <f>IF(D16="-","",IF(VLOOKUP(1,Hintergrunddaten!I66:L94,4,)=0,"",VLOOKUP(1,Hintergrunddaten!I66:L94,4,)))</f>
        <v/>
      </c>
      <c r="C30" s="9"/>
      <c r="D30" s="9"/>
      <c r="E30" s="9"/>
      <c r="F30" s="9"/>
      <c r="G30" s="9"/>
      <c r="H30" s="9"/>
      <c r="I30" s="9"/>
    </row>
    <row r="31" spans="1:9" x14ac:dyDescent="0.25">
      <c r="A31" s="12" t="s">
        <v>21</v>
      </c>
      <c r="B31" s="9"/>
      <c r="C31" s="9"/>
      <c r="D31" s="9"/>
      <c r="E31" s="9"/>
      <c r="F31" s="9"/>
      <c r="G31" s="9"/>
      <c r="H31" s="9"/>
      <c r="I31" s="9"/>
    </row>
    <row r="32" spans="1:9" x14ac:dyDescent="0.25">
      <c r="A32" s="12" t="str">
        <f>Antragsdaten!E103&amp;" "&amp;Antragsdaten!E104</f>
        <v xml:space="preserve"> </v>
      </c>
      <c r="B32" s="9"/>
      <c r="C32" s="9"/>
      <c r="D32" s="9"/>
      <c r="E32" s="9"/>
      <c r="F32" s="9"/>
      <c r="G32" s="9"/>
      <c r="H32" s="9"/>
      <c r="I32" s="9"/>
    </row>
    <row r="33" spans="1:9" ht="8.25" customHeight="1" x14ac:dyDescent="0.25">
      <c r="A33" s="12"/>
      <c r="B33" s="9"/>
      <c r="C33" s="9"/>
      <c r="D33" s="9"/>
      <c r="E33" s="9"/>
      <c r="F33" s="9"/>
      <c r="G33" s="9"/>
      <c r="H33" s="9"/>
      <c r="I33" s="9"/>
    </row>
    <row r="34" spans="1:9" ht="30.75" customHeight="1" x14ac:dyDescent="0.25">
      <c r="A34" s="76"/>
      <c r="B34" s="13"/>
      <c r="C34" s="13"/>
      <c r="D34" s="13"/>
      <c r="F34" s="13"/>
      <c r="G34" s="13"/>
      <c r="H34" s="13"/>
      <c r="I34" s="13"/>
    </row>
    <row r="35" spans="1:9" x14ac:dyDescent="0.25">
      <c r="A35" s="12" t="s">
        <v>6</v>
      </c>
      <c r="B35" s="9"/>
      <c r="C35" s="9"/>
      <c r="D35" s="9"/>
      <c r="F35" s="9" t="s">
        <v>152</v>
      </c>
      <c r="G35" s="9"/>
      <c r="H35" s="9"/>
      <c r="I35" s="9"/>
    </row>
    <row r="36" spans="1:9" ht="12" customHeight="1" x14ac:dyDescent="0.25">
      <c r="A36" s="14"/>
      <c r="B36" s="9"/>
      <c r="C36" s="9"/>
      <c r="D36" s="9"/>
      <c r="E36" s="9"/>
      <c r="F36" s="9"/>
      <c r="G36" s="9"/>
      <c r="H36" s="9"/>
      <c r="I36" s="9"/>
    </row>
    <row r="37" spans="1:9" ht="60" customHeight="1" x14ac:dyDescent="0.25">
      <c r="A37" s="196" t="s">
        <v>207</v>
      </c>
      <c r="B37" s="196"/>
      <c r="C37" s="196"/>
      <c r="D37" s="196"/>
      <c r="E37" s="196"/>
      <c r="F37" s="196"/>
      <c r="G37" s="196"/>
      <c r="H37" s="196"/>
      <c r="I37" s="196"/>
    </row>
    <row r="38" spans="1:9" ht="21" customHeight="1" x14ac:dyDescent="0.25">
      <c r="A38" s="12"/>
      <c r="B38" s="9"/>
      <c r="C38" s="9"/>
      <c r="D38" s="9"/>
      <c r="E38" s="9"/>
      <c r="F38" s="9"/>
      <c r="G38" s="9"/>
      <c r="H38" s="9"/>
      <c r="I38" s="9"/>
    </row>
    <row r="39" spans="1:9" x14ac:dyDescent="0.25">
      <c r="A39" s="93">
        <f ca="1">TODAY()</f>
        <v>44767</v>
      </c>
      <c r="B39" s="94" t="str">
        <f>Antragsdaten!E103&amp;" "&amp;Antragsdaten!E104&amp;", Förderantrag - Dingolfinger Anreizprogramm Klimaschutzoffensive (Stand 30.06.2022)"</f>
        <v xml:space="preserve"> , Förderantrag - Dingolfinger Anreizprogramm Klimaschutzoffensive (Stand 30.06.2022)</v>
      </c>
      <c r="C39" s="94"/>
      <c r="D39" s="94"/>
      <c r="E39" s="95"/>
      <c r="F39" s="95"/>
      <c r="G39" s="95"/>
      <c r="H39" s="95"/>
      <c r="I39" s="96" t="s">
        <v>185</v>
      </c>
    </row>
    <row r="40" spans="1:9" ht="18" customHeight="1" x14ac:dyDescent="0.25">
      <c r="A40" s="10"/>
      <c r="B40" s="7"/>
      <c r="C40" s="7"/>
      <c r="D40" s="7"/>
      <c r="E40" s="7"/>
      <c r="F40" s="7"/>
      <c r="G40" s="7"/>
      <c r="H40" s="7"/>
      <c r="I40" s="7"/>
    </row>
    <row r="41" spans="1:9" ht="24" customHeight="1" x14ac:dyDescent="0.25">
      <c r="A41" s="75" t="s">
        <v>8</v>
      </c>
      <c r="B41" s="67"/>
      <c r="C41" s="67"/>
      <c r="D41" s="67"/>
      <c r="E41" s="67"/>
      <c r="F41" s="67"/>
      <c r="G41" s="67"/>
      <c r="H41" s="67"/>
      <c r="I41" s="67"/>
    </row>
    <row r="42" spans="1:9" ht="26.25" customHeight="1" x14ac:dyDescent="0.25">
      <c r="A42" s="42" t="s">
        <v>199</v>
      </c>
      <c r="B42" s="12"/>
      <c r="C42" s="12"/>
      <c r="D42" s="12"/>
      <c r="E42" s="12"/>
      <c r="F42" s="189" t="s">
        <v>206</v>
      </c>
      <c r="G42" s="189"/>
      <c r="H42" s="189"/>
      <c r="I42" s="189"/>
    </row>
    <row r="43" spans="1:9" x14ac:dyDescent="0.25">
      <c r="A43" s="185">
        <f>Antragsdaten!E99</f>
        <v>0</v>
      </c>
      <c r="B43" s="185"/>
      <c r="C43" s="185"/>
      <c r="D43" s="185"/>
      <c r="E43" s="12"/>
      <c r="F43" s="172">
        <f>Antragsdaten!E100</f>
        <v>0</v>
      </c>
      <c r="G43" s="128"/>
      <c r="H43" s="128"/>
      <c r="I43" s="128"/>
    </row>
    <row r="44" spans="1:9" x14ac:dyDescent="0.25">
      <c r="A44" s="1" t="s">
        <v>9</v>
      </c>
      <c r="B44" s="12"/>
      <c r="C44" s="12"/>
      <c r="D44" s="12"/>
      <c r="E44" s="12"/>
      <c r="F44" s="12"/>
      <c r="G44" s="12"/>
      <c r="H44" s="67"/>
      <c r="I44" s="67"/>
    </row>
    <row r="45" spans="1:9" x14ac:dyDescent="0.25">
      <c r="A45" s="185">
        <f>Antragsdaten!E102</f>
        <v>0</v>
      </c>
      <c r="B45" s="185"/>
      <c r="C45" s="12"/>
      <c r="D45" s="12"/>
      <c r="E45" s="12"/>
      <c r="F45" s="12"/>
      <c r="G45" s="12"/>
      <c r="H45" s="67"/>
      <c r="I45" s="67"/>
    </row>
    <row r="46" spans="1:9" x14ac:dyDescent="0.25">
      <c r="A46" s="1" t="s">
        <v>10</v>
      </c>
      <c r="B46" s="12"/>
      <c r="C46" s="12"/>
      <c r="D46" s="12"/>
      <c r="E46" s="67"/>
      <c r="F46" s="1" t="s">
        <v>11</v>
      </c>
      <c r="G46" s="12"/>
      <c r="H46" s="12"/>
      <c r="I46" s="67"/>
    </row>
    <row r="47" spans="1:9" x14ac:dyDescent="0.25">
      <c r="A47" s="185">
        <f>Antragsdaten!E103</f>
        <v>0</v>
      </c>
      <c r="B47" s="185"/>
      <c r="C47" s="185"/>
      <c r="D47" s="185"/>
      <c r="E47" s="67"/>
      <c r="F47" s="185">
        <f>Antragsdaten!E104</f>
        <v>0</v>
      </c>
      <c r="G47" s="185"/>
      <c r="H47" s="185"/>
      <c r="I47" s="185"/>
    </row>
    <row r="48" spans="1:9" x14ac:dyDescent="0.25">
      <c r="A48" s="1" t="s">
        <v>12</v>
      </c>
      <c r="B48" s="12"/>
      <c r="C48" s="12"/>
      <c r="D48" s="12"/>
      <c r="E48" s="67"/>
      <c r="H48" s="1" t="s">
        <v>13</v>
      </c>
      <c r="I48" s="12"/>
    </row>
    <row r="49" spans="1:9" x14ac:dyDescent="0.25">
      <c r="A49" s="185">
        <f>Antragsdaten!E105</f>
        <v>0</v>
      </c>
      <c r="B49" s="185"/>
      <c r="C49" s="185"/>
      <c r="D49" s="185"/>
      <c r="E49" s="185"/>
      <c r="F49" s="185"/>
      <c r="H49" s="186">
        <f>Antragsdaten!E106</f>
        <v>0</v>
      </c>
      <c r="I49" s="186"/>
    </row>
    <row r="50" spans="1:9" x14ac:dyDescent="0.25">
      <c r="A50" s="1" t="s">
        <v>14</v>
      </c>
      <c r="B50" s="12"/>
      <c r="C50" s="67"/>
      <c r="D50" s="67"/>
      <c r="E50" s="67"/>
      <c r="F50" s="1" t="s">
        <v>15</v>
      </c>
      <c r="G50" s="12"/>
      <c r="H50" s="12"/>
      <c r="I50" s="67"/>
    </row>
    <row r="51" spans="1:9" x14ac:dyDescent="0.25">
      <c r="A51" s="185">
        <f>Antragsdaten!E107</f>
        <v>0</v>
      </c>
      <c r="B51" s="185"/>
      <c r="C51" s="185"/>
      <c r="D51" s="185"/>
      <c r="E51" s="67"/>
      <c r="F51" s="186">
        <f>Antragsdaten!E108</f>
        <v>0</v>
      </c>
      <c r="G51" s="186"/>
      <c r="H51" s="186"/>
      <c r="I51" s="186"/>
    </row>
    <row r="52" spans="1:9" x14ac:dyDescent="0.25">
      <c r="A52" s="1" t="s">
        <v>16</v>
      </c>
      <c r="B52" s="12"/>
      <c r="C52" s="12"/>
      <c r="D52" s="12"/>
      <c r="E52" s="12"/>
      <c r="F52" s="12"/>
      <c r="G52" s="12"/>
      <c r="H52" s="67"/>
      <c r="I52" s="67"/>
    </row>
    <row r="53" spans="1:9" x14ac:dyDescent="0.25">
      <c r="A53" s="191">
        <f>Antragsdaten!E109</f>
        <v>0</v>
      </c>
      <c r="B53" s="191"/>
      <c r="C53" s="191"/>
      <c r="D53" s="191"/>
      <c r="E53" s="12"/>
      <c r="F53" s="12"/>
      <c r="G53" s="12"/>
      <c r="H53" s="67"/>
      <c r="I53" s="67"/>
    </row>
    <row r="54" spans="1:9" x14ac:dyDescent="0.25">
      <c r="A54" s="1" t="s">
        <v>17</v>
      </c>
      <c r="B54" s="12"/>
      <c r="C54" s="12"/>
      <c r="D54" s="12"/>
      <c r="E54" s="12"/>
      <c r="F54" s="12"/>
      <c r="G54" s="12"/>
      <c r="H54" s="67"/>
      <c r="I54" s="67"/>
    </row>
    <row r="55" spans="1:9" x14ac:dyDescent="0.25">
      <c r="A55" s="185">
        <f>Antragsdaten!E110</f>
        <v>0</v>
      </c>
      <c r="B55" s="185"/>
      <c r="C55" s="185"/>
      <c r="D55" s="185"/>
      <c r="E55" s="185"/>
      <c r="F55" s="185"/>
      <c r="G55" s="12"/>
      <c r="H55" s="67"/>
      <c r="I55" s="67"/>
    </row>
    <row r="56" spans="1:9" x14ac:dyDescent="0.25">
      <c r="A56" s="1" t="s">
        <v>18</v>
      </c>
      <c r="B56" s="67"/>
      <c r="C56" s="67"/>
      <c r="D56" s="67"/>
      <c r="E56" s="67"/>
      <c r="F56" s="67"/>
      <c r="G56" s="67"/>
      <c r="H56" s="67"/>
      <c r="I56" s="67"/>
    </row>
    <row r="57" spans="1:9" x14ac:dyDescent="0.25">
      <c r="A57" s="187">
        <f>Antragsdaten!E111</f>
        <v>0</v>
      </c>
      <c r="B57" s="185"/>
      <c r="C57" s="185"/>
      <c r="D57" s="185"/>
      <c r="E57" s="185"/>
      <c r="F57" s="185"/>
      <c r="G57" s="12"/>
      <c r="H57" s="67"/>
      <c r="I57" s="67"/>
    </row>
    <row r="58" spans="1:9" x14ac:dyDescent="0.25">
      <c r="A58" s="1" t="s">
        <v>19</v>
      </c>
      <c r="B58" s="12"/>
      <c r="C58" s="12"/>
      <c r="D58" s="12"/>
      <c r="E58" s="12"/>
      <c r="F58" s="12"/>
      <c r="G58" s="12"/>
      <c r="H58" s="67"/>
      <c r="I58" s="67"/>
    </row>
    <row r="59" spans="1:9" x14ac:dyDescent="0.25">
      <c r="A59" s="185">
        <f>Antragsdaten!E114</f>
        <v>0</v>
      </c>
      <c r="B59" s="185"/>
      <c r="C59" s="185"/>
      <c r="D59" s="185"/>
      <c r="E59" s="185"/>
      <c r="F59" s="185"/>
      <c r="G59" s="12"/>
      <c r="H59" s="67"/>
      <c r="I59" s="67"/>
    </row>
    <row r="60" spans="1:9" x14ac:dyDescent="0.25">
      <c r="A60" s="1" t="s">
        <v>20</v>
      </c>
      <c r="B60" s="12"/>
      <c r="C60" s="12"/>
      <c r="D60" s="12"/>
      <c r="E60" s="67"/>
      <c r="F60" s="1" t="s">
        <v>11</v>
      </c>
      <c r="G60" s="12"/>
      <c r="H60" s="12"/>
      <c r="I60" s="67"/>
    </row>
    <row r="61" spans="1:9" x14ac:dyDescent="0.25">
      <c r="A61" s="185">
        <f>Antragsdaten!E116</f>
        <v>0</v>
      </c>
      <c r="B61" s="185"/>
      <c r="C61" s="185"/>
      <c r="D61" s="185"/>
      <c r="E61" s="67"/>
      <c r="F61" s="185">
        <f>Antragsdaten!E117</f>
        <v>0</v>
      </c>
      <c r="G61" s="185"/>
      <c r="H61" s="185"/>
      <c r="I61" s="185"/>
    </row>
    <row r="62" spans="1:9" x14ac:dyDescent="0.25">
      <c r="A62" s="68"/>
      <c r="B62" s="68"/>
      <c r="C62" s="68"/>
      <c r="D62" s="68"/>
      <c r="E62" s="16"/>
      <c r="F62" s="68"/>
      <c r="G62" s="68"/>
      <c r="H62" s="68"/>
      <c r="I62" s="67"/>
    </row>
    <row r="63" spans="1:9" ht="24" customHeight="1" x14ac:dyDescent="0.25">
      <c r="A63" s="75" t="s">
        <v>143</v>
      </c>
      <c r="B63" s="67"/>
      <c r="C63" s="67"/>
      <c r="D63" s="67"/>
      <c r="E63" s="67"/>
      <c r="F63" s="67"/>
      <c r="G63" s="67"/>
      <c r="H63" s="67"/>
      <c r="I63" s="67"/>
    </row>
    <row r="64" spans="1:9" x14ac:dyDescent="0.25">
      <c r="A64" s="1" t="s">
        <v>12</v>
      </c>
      <c r="B64" s="10"/>
      <c r="C64" s="10"/>
      <c r="D64" s="10"/>
      <c r="E64" s="67"/>
      <c r="H64" s="1" t="s">
        <v>13</v>
      </c>
      <c r="I64" s="10"/>
    </row>
    <row r="65" spans="1:9" x14ac:dyDescent="0.25">
      <c r="A65" s="185">
        <f>Antragsdaten!E120</f>
        <v>0</v>
      </c>
      <c r="B65" s="185"/>
      <c r="C65" s="185"/>
      <c r="D65" s="185"/>
      <c r="E65" s="185"/>
      <c r="F65" s="185"/>
      <c r="H65" s="186">
        <f>Antragsdaten!E121</f>
        <v>0</v>
      </c>
      <c r="I65" s="186"/>
    </row>
    <row r="66" spans="1:9" x14ac:dyDescent="0.25">
      <c r="A66" s="1" t="s">
        <v>14</v>
      </c>
      <c r="B66" s="10"/>
      <c r="C66" s="67"/>
      <c r="D66" s="67"/>
      <c r="E66" s="67"/>
      <c r="F66" s="1" t="s">
        <v>136</v>
      </c>
      <c r="G66" s="10"/>
      <c r="H66" s="10"/>
      <c r="I66" s="10"/>
    </row>
    <row r="67" spans="1:9" x14ac:dyDescent="0.25">
      <c r="A67" s="185">
        <f>Antragsdaten!E122</f>
        <v>0</v>
      </c>
      <c r="B67" s="185"/>
      <c r="C67" s="185"/>
      <c r="D67" s="185"/>
      <c r="E67" s="67"/>
      <c r="F67" s="186">
        <f>Antragsdaten!E123</f>
        <v>0</v>
      </c>
      <c r="G67" s="186"/>
      <c r="H67" s="186"/>
      <c r="I67" s="186"/>
    </row>
    <row r="68" spans="1:9" x14ac:dyDescent="0.25">
      <c r="A68" s="1" t="s">
        <v>142</v>
      </c>
      <c r="B68" s="10"/>
      <c r="C68" s="10"/>
      <c r="D68" s="10"/>
      <c r="E68" s="10"/>
      <c r="F68" s="10"/>
      <c r="G68" s="10"/>
      <c r="H68" s="10"/>
      <c r="I68" s="10"/>
    </row>
    <row r="69" spans="1:9" x14ac:dyDescent="0.25">
      <c r="A69" s="185">
        <f>Antragsdaten!E124</f>
        <v>0</v>
      </c>
      <c r="B69" s="185"/>
      <c r="C69" s="185"/>
      <c r="D69" s="185"/>
      <c r="E69" s="10"/>
      <c r="F69" s="10"/>
      <c r="G69" s="10"/>
      <c r="H69" s="10"/>
      <c r="I69" s="10"/>
    </row>
    <row r="70" spans="1:9" x14ac:dyDescent="0.25">
      <c r="A70" s="10"/>
      <c r="B70" s="10"/>
      <c r="C70" s="10"/>
      <c r="D70" s="10"/>
      <c r="E70" s="10"/>
      <c r="F70" s="10"/>
      <c r="G70" s="10"/>
      <c r="H70" s="10"/>
      <c r="I70" s="10"/>
    </row>
    <row r="71" spans="1:9" ht="24" customHeight="1" x14ac:dyDescent="0.25">
      <c r="A71" s="75" t="s">
        <v>194</v>
      </c>
      <c r="B71" s="67"/>
      <c r="C71" s="67"/>
      <c r="D71" s="67"/>
      <c r="E71" s="67"/>
      <c r="F71" s="67"/>
      <c r="G71" s="67"/>
      <c r="H71" s="67"/>
      <c r="I71" s="67"/>
    </row>
    <row r="72" spans="1:9" x14ac:dyDescent="0.25">
      <c r="A72" s="1" t="s">
        <v>151</v>
      </c>
      <c r="B72" s="12"/>
      <c r="C72" s="12"/>
      <c r="D72" s="12"/>
      <c r="E72" s="12"/>
      <c r="F72" s="12"/>
      <c r="G72" s="12"/>
      <c r="H72" s="67"/>
      <c r="I72" s="67"/>
    </row>
    <row r="73" spans="1:9" x14ac:dyDescent="0.25">
      <c r="A73" s="186">
        <f>Antragsdaten!E130</f>
        <v>0</v>
      </c>
      <c r="B73" s="186"/>
      <c r="C73" s="186"/>
      <c r="D73" s="186"/>
      <c r="E73" s="12"/>
      <c r="F73" s="12"/>
      <c r="G73" s="12"/>
      <c r="H73" s="67"/>
      <c r="I73" s="67"/>
    </row>
    <row r="74" spans="1:9" x14ac:dyDescent="0.25">
      <c r="A74" s="1" t="s">
        <v>9</v>
      </c>
      <c r="B74" s="12"/>
      <c r="C74" s="12"/>
      <c r="D74" s="12"/>
      <c r="E74" s="12"/>
      <c r="F74" s="12"/>
      <c r="G74" s="12"/>
      <c r="H74" s="67"/>
      <c r="I74" s="67"/>
    </row>
    <row r="75" spans="1:9" x14ac:dyDescent="0.25">
      <c r="A75" s="185">
        <f>Antragsdaten!E136</f>
        <v>0</v>
      </c>
      <c r="B75" s="185"/>
      <c r="C75" s="12"/>
      <c r="D75" s="12"/>
      <c r="E75" s="12"/>
      <c r="F75" s="12"/>
      <c r="G75" s="12"/>
      <c r="H75" s="67"/>
      <c r="I75" s="67"/>
    </row>
    <row r="76" spans="1:9" x14ac:dyDescent="0.25">
      <c r="A76" s="1" t="s">
        <v>10</v>
      </c>
      <c r="B76" s="12"/>
      <c r="C76" s="12"/>
      <c r="D76" s="12"/>
      <c r="E76" s="67"/>
      <c r="F76" s="1" t="s">
        <v>11</v>
      </c>
      <c r="G76" s="12"/>
      <c r="H76" s="12"/>
      <c r="I76" s="67"/>
    </row>
    <row r="77" spans="1:9" x14ac:dyDescent="0.25">
      <c r="A77" s="185">
        <f>Antragsdaten!E137</f>
        <v>0</v>
      </c>
      <c r="B77" s="185"/>
      <c r="C77" s="185"/>
      <c r="D77" s="185"/>
      <c r="E77" s="67"/>
      <c r="F77" s="185">
        <f>Antragsdaten!E138</f>
        <v>0</v>
      </c>
      <c r="G77" s="185"/>
      <c r="H77" s="185"/>
      <c r="I77" s="185"/>
    </row>
    <row r="78" spans="1:9" x14ac:dyDescent="0.25">
      <c r="A78" s="1" t="s">
        <v>12</v>
      </c>
      <c r="B78" s="12"/>
      <c r="C78" s="12"/>
      <c r="D78" s="12"/>
      <c r="E78" s="67"/>
      <c r="H78" s="1" t="s">
        <v>13</v>
      </c>
      <c r="I78" s="12"/>
    </row>
    <row r="79" spans="1:9" x14ac:dyDescent="0.25">
      <c r="A79" s="185">
        <f>Antragsdaten!E131</f>
        <v>0</v>
      </c>
      <c r="B79" s="185"/>
      <c r="C79" s="185"/>
      <c r="D79" s="185"/>
      <c r="E79" s="185"/>
      <c r="F79" s="185"/>
      <c r="H79" s="186">
        <f>Antragsdaten!E132</f>
        <v>0</v>
      </c>
      <c r="I79" s="186"/>
    </row>
    <row r="80" spans="1:9" x14ac:dyDescent="0.25">
      <c r="A80" s="1" t="s">
        <v>14</v>
      </c>
      <c r="B80" s="12"/>
      <c r="C80" s="67"/>
      <c r="D80" s="67"/>
      <c r="E80" s="67"/>
      <c r="F80" s="1" t="s">
        <v>136</v>
      </c>
      <c r="G80" s="12"/>
      <c r="H80" s="12"/>
      <c r="I80" s="67"/>
    </row>
    <row r="81" spans="1:9" x14ac:dyDescent="0.25">
      <c r="A81" s="185">
        <f>Antragsdaten!E133</f>
        <v>0</v>
      </c>
      <c r="B81" s="185"/>
      <c r="C81" s="185"/>
      <c r="D81" s="185"/>
      <c r="E81" s="67"/>
      <c r="F81" s="186">
        <f>Antragsdaten!E134</f>
        <v>0</v>
      </c>
      <c r="G81" s="186"/>
      <c r="H81" s="186"/>
      <c r="I81" s="186"/>
    </row>
    <row r="82" spans="1:9" x14ac:dyDescent="0.25">
      <c r="A82" s="1" t="s">
        <v>17</v>
      </c>
      <c r="B82" s="12"/>
      <c r="C82" s="12"/>
      <c r="D82" s="12"/>
      <c r="E82" s="12"/>
      <c r="F82" s="12"/>
      <c r="G82" s="12"/>
      <c r="H82" s="67"/>
      <c r="I82" s="67"/>
    </row>
    <row r="83" spans="1:9" x14ac:dyDescent="0.25">
      <c r="A83" s="185">
        <f>Antragsdaten!E139</f>
        <v>0</v>
      </c>
      <c r="B83" s="185"/>
      <c r="C83" s="185"/>
      <c r="D83" s="185"/>
      <c r="E83" s="185"/>
      <c r="F83" s="185"/>
      <c r="G83" s="12"/>
      <c r="H83" s="67"/>
      <c r="I83" s="67"/>
    </row>
    <row r="84" spans="1:9" x14ac:dyDescent="0.25">
      <c r="A84" s="1" t="s">
        <v>18</v>
      </c>
      <c r="B84" s="67"/>
      <c r="C84" s="67"/>
      <c r="D84" s="67"/>
      <c r="E84" s="67"/>
      <c r="F84" s="67"/>
      <c r="G84" s="67"/>
      <c r="H84" s="67"/>
      <c r="I84" s="67"/>
    </row>
    <row r="85" spans="1:9" x14ac:dyDescent="0.25">
      <c r="A85" s="187">
        <f>Antragsdaten!E140</f>
        <v>0</v>
      </c>
      <c r="B85" s="185"/>
      <c r="C85" s="185"/>
      <c r="D85" s="185"/>
      <c r="E85" s="185"/>
      <c r="F85" s="185"/>
      <c r="G85" s="12"/>
      <c r="H85" s="67"/>
      <c r="I85" s="67"/>
    </row>
    <row r="86" spans="1:9" x14ac:dyDescent="0.25">
      <c r="A86" s="10"/>
      <c r="B86" s="7"/>
      <c r="C86" s="7"/>
      <c r="D86" s="7"/>
      <c r="E86" s="7"/>
      <c r="F86" s="7"/>
      <c r="G86" s="7"/>
      <c r="H86" s="7"/>
      <c r="I86" s="7"/>
    </row>
    <row r="87" spans="1:9" ht="38.25" customHeight="1" x14ac:dyDescent="0.25">
      <c r="A87" s="138" t="str">
        <f>IF(B87&lt;&gt;"","R","")</f>
        <v>R</v>
      </c>
      <c r="B87" s="190" t="s">
        <v>246</v>
      </c>
      <c r="C87" s="190"/>
      <c r="D87" s="190"/>
      <c r="E87" s="190"/>
      <c r="F87" s="190"/>
      <c r="G87" s="190"/>
      <c r="H87" s="190"/>
      <c r="I87" s="190"/>
    </row>
    <row r="88" spans="1:9" ht="15" customHeight="1" x14ac:dyDescent="0.25">
      <c r="A88" s="10"/>
      <c r="B88" s="7"/>
      <c r="C88" s="7"/>
      <c r="D88" s="7"/>
      <c r="E88" s="7"/>
      <c r="F88" s="7"/>
      <c r="G88" s="7"/>
      <c r="H88" s="7"/>
      <c r="I88" s="7"/>
    </row>
    <row r="89" spans="1:9" x14ac:dyDescent="0.25">
      <c r="A89" s="93">
        <f ca="1">TODAY()</f>
        <v>44767</v>
      </c>
      <c r="B89" s="94" t="str">
        <f>B39</f>
        <v xml:space="preserve"> , Förderantrag - Dingolfinger Anreizprogramm Klimaschutzoffensive (Stand 30.06.2022)</v>
      </c>
      <c r="C89" s="94"/>
      <c r="D89" s="94"/>
      <c r="E89" s="95"/>
      <c r="F89" s="95"/>
      <c r="G89" s="95"/>
      <c r="H89" s="95"/>
      <c r="I89" s="96" t="s">
        <v>186</v>
      </c>
    </row>
    <row r="90" spans="1:9" ht="18" customHeight="1" x14ac:dyDescent="0.25">
      <c r="A90" s="10"/>
      <c r="B90" s="7"/>
      <c r="C90" s="7"/>
      <c r="D90" s="7"/>
      <c r="E90" s="7"/>
      <c r="F90" s="7"/>
      <c r="G90" s="7"/>
      <c r="H90" s="7"/>
      <c r="I90" s="7"/>
    </row>
    <row r="91" spans="1:9" ht="15.75" x14ac:dyDescent="0.25">
      <c r="A91" s="6" t="s">
        <v>22</v>
      </c>
    </row>
    <row r="92" spans="1:9" ht="31.5" customHeight="1" x14ac:dyDescent="0.25">
      <c r="A92" s="189" t="s">
        <v>218</v>
      </c>
      <c r="B92" s="189"/>
      <c r="C92" s="189"/>
      <c r="D92" s="189"/>
      <c r="E92" s="189"/>
      <c r="F92" s="189"/>
      <c r="G92" s="189"/>
      <c r="H92" s="189"/>
      <c r="I92" s="189"/>
    </row>
    <row r="93" spans="1:9" ht="34.5" customHeight="1" x14ac:dyDescent="0.25">
      <c r="A93" s="74" t="s">
        <v>193</v>
      </c>
      <c r="B93" s="188" t="str">
        <f>IF(Antragsdaten!E10="Ja","Zum Zeitpunkt der Antragstellung bei der Stadt Dingolfing wurde das für die Förderung benötigte Material noch nicht gekauft. Mit der Umsetzung der beantragten Maßnahme wurde noch nicht begonnen","Zum Zeitpunkt der Antragstellung bei der Stadt Dingolfing wurde noch kein Auftrag für die Umsetzung der hiermit beantragten Fördermaßnahme erteilt. Den Auftrag erteile ich erst nach Erhalt des Zuwendungsbescheids durch die Stadt Dingolfing.")</f>
        <v>Zum Zeitpunkt der Antragstellung bei der Stadt Dingolfing wurde noch kein Auftrag für die Umsetzung der hiermit beantragten Fördermaßnahme erteilt. Den Auftrag erteile ich erst nach Erhalt des Zuwendungsbescheids durch die Stadt Dingolfing.</v>
      </c>
      <c r="C93" s="188"/>
      <c r="D93" s="188"/>
      <c r="E93" s="188"/>
      <c r="F93" s="188"/>
      <c r="G93" s="188"/>
      <c r="H93" s="188"/>
      <c r="I93" s="188"/>
    </row>
    <row r="94" spans="1:9" ht="29.25" customHeight="1" x14ac:dyDescent="0.25">
      <c r="A94" s="74" t="s">
        <v>193</v>
      </c>
      <c r="B94" s="188" t="s">
        <v>217</v>
      </c>
      <c r="C94" s="188"/>
      <c r="D94" s="188"/>
      <c r="E94" s="188"/>
      <c r="F94" s="188"/>
      <c r="G94" s="188"/>
      <c r="H94" s="188"/>
      <c r="I94" s="188"/>
    </row>
    <row r="95" spans="1:9" ht="29.25" customHeight="1" x14ac:dyDescent="0.25">
      <c r="A95" s="74" t="s">
        <v>193</v>
      </c>
      <c r="B95" s="188" t="s">
        <v>216</v>
      </c>
      <c r="C95" s="188"/>
      <c r="D95" s="188"/>
      <c r="E95" s="188"/>
      <c r="F95" s="188"/>
      <c r="G95" s="188"/>
      <c r="H95" s="188"/>
      <c r="I95" s="188"/>
    </row>
    <row r="96" spans="1:9" ht="35.25" customHeight="1" x14ac:dyDescent="0.25">
      <c r="A96" s="74" t="s">
        <v>193</v>
      </c>
      <c r="B96" s="188" t="s">
        <v>226</v>
      </c>
      <c r="C96" s="188"/>
      <c r="D96" s="188"/>
      <c r="E96" s="188"/>
      <c r="F96" s="188"/>
      <c r="G96" s="188"/>
      <c r="H96" s="188"/>
      <c r="I96" s="188"/>
    </row>
    <row r="97" spans="1:9" x14ac:dyDescent="0.25">
      <c r="A97" s="15"/>
    </row>
    <row r="98" spans="1:9" ht="15.75" x14ac:dyDescent="0.25">
      <c r="A98" s="6" t="s">
        <v>23</v>
      </c>
    </row>
    <row r="99" spans="1:9" ht="75" customHeight="1" x14ac:dyDescent="0.25">
      <c r="A99" s="184" t="s">
        <v>148</v>
      </c>
      <c r="B99" s="184"/>
      <c r="C99" s="184"/>
      <c r="D99" s="184"/>
      <c r="E99" s="184"/>
      <c r="F99" s="184"/>
      <c r="G99" s="184"/>
      <c r="H99" s="184"/>
      <c r="I99" s="184"/>
    </row>
    <row r="100" spans="1:9" x14ac:dyDescent="0.25">
      <c r="A100" s="8"/>
    </row>
    <row r="101" spans="1:9" ht="15.75" x14ac:dyDescent="0.25">
      <c r="A101" s="6" t="s">
        <v>24</v>
      </c>
    </row>
    <row r="102" spans="1:9" ht="76.5" customHeight="1" x14ac:dyDescent="0.25">
      <c r="A102" s="184" t="s">
        <v>149</v>
      </c>
      <c r="B102" s="184"/>
      <c r="C102" s="184"/>
      <c r="D102" s="184"/>
      <c r="E102" s="184"/>
      <c r="F102" s="184"/>
      <c r="G102" s="184"/>
      <c r="H102" s="184"/>
      <c r="I102" s="184"/>
    </row>
    <row r="104" spans="1:9" ht="15.75" x14ac:dyDescent="0.25">
      <c r="A104" s="6" t="s">
        <v>25</v>
      </c>
    </row>
    <row r="105" spans="1:9" ht="46.5" customHeight="1" x14ac:dyDescent="0.25">
      <c r="A105" s="184" t="s">
        <v>26</v>
      </c>
      <c r="B105" s="184"/>
      <c r="C105" s="184"/>
      <c r="D105" s="184"/>
      <c r="E105" s="184"/>
      <c r="F105" s="184"/>
      <c r="G105" s="184"/>
      <c r="H105" s="184"/>
      <c r="I105" s="184"/>
    </row>
    <row r="107" spans="1:9" ht="15.75" x14ac:dyDescent="0.25">
      <c r="A107" s="6" t="s">
        <v>27</v>
      </c>
    </row>
    <row r="108" spans="1:9" ht="75.75" customHeight="1" x14ac:dyDescent="0.25">
      <c r="A108" s="184" t="s">
        <v>247</v>
      </c>
      <c r="B108" s="184"/>
      <c r="C108" s="184"/>
      <c r="D108" s="184"/>
      <c r="E108" s="184"/>
      <c r="F108" s="184"/>
      <c r="G108" s="184"/>
      <c r="H108" s="184"/>
      <c r="I108" s="184"/>
    </row>
    <row r="109" spans="1:9" ht="20.25" customHeight="1" x14ac:dyDescent="0.25"/>
    <row r="110" spans="1:9" x14ac:dyDescent="0.25">
      <c r="A110" s="11" t="s">
        <v>64</v>
      </c>
      <c r="F110" s="11"/>
    </row>
    <row r="111" spans="1:9" x14ac:dyDescent="0.25">
      <c r="A111" t="str">
        <f>Antragsdaten!E103&amp;" "&amp;Antragsdaten!E104</f>
        <v xml:space="preserve"> </v>
      </c>
    </row>
    <row r="113" spans="1:9" x14ac:dyDescent="0.25">
      <c r="A113" s="12"/>
      <c r="B113" s="9"/>
      <c r="C113" s="9"/>
      <c r="D113" s="9"/>
      <c r="E113" s="9"/>
      <c r="F113" s="9"/>
      <c r="G113" s="9"/>
      <c r="H113" s="9"/>
      <c r="I113" s="9"/>
    </row>
    <row r="114" spans="1:9" x14ac:dyDescent="0.25">
      <c r="A114" s="76"/>
      <c r="B114" s="13"/>
      <c r="C114" s="13"/>
      <c r="D114" s="13"/>
      <c r="F114" s="13"/>
      <c r="G114" s="13"/>
      <c r="H114" s="13"/>
      <c r="I114" s="13"/>
    </row>
    <row r="115" spans="1:9" x14ac:dyDescent="0.25">
      <c r="A115" s="12" t="s">
        <v>6</v>
      </c>
      <c r="B115" s="9"/>
      <c r="C115" s="9"/>
      <c r="D115" s="9"/>
      <c r="F115" s="9" t="s">
        <v>152</v>
      </c>
      <c r="G115" s="9"/>
      <c r="H115" s="9"/>
      <c r="I115" s="9"/>
    </row>
    <row r="116" spans="1:9" x14ac:dyDescent="0.25">
      <c r="D116" s="9"/>
    </row>
    <row r="117" spans="1:9" ht="9" customHeight="1" x14ac:dyDescent="0.25"/>
    <row r="122" spans="1:9" ht="9.75" customHeight="1" x14ac:dyDescent="0.25"/>
    <row r="123" spans="1:9" ht="17.25" customHeight="1" x14ac:dyDescent="0.25"/>
    <row r="124" spans="1:9" x14ac:dyDescent="0.25">
      <c r="A124" s="93">
        <f ca="1">TODAY()</f>
        <v>44767</v>
      </c>
      <c r="B124" s="94" t="str">
        <f>B89</f>
        <v xml:space="preserve"> , Förderantrag - Dingolfinger Anreizprogramm Klimaschutzoffensive (Stand 30.06.2022)</v>
      </c>
      <c r="C124" s="94"/>
      <c r="D124" s="94"/>
      <c r="E124" s="95"/>
      <c r="F124" s="95"/>
      <c r="G124" s="95"/>
      <c r="H124" s="95"/>
      <c r="I124" s="96" t="s">
        <v>189</v>
      </c>
    </row>
  </sheetData>
  <sheetProtection algorithmName="SHA-512" hashValue="id6svUSV1QOo1LkIfCiSu2We20ih5nGGTdz4iI15Ln0qkofC4Ze5t8uxG9I+f4BVVGMa8TX2nT0onwDYYrKk4w==" saltValue="WW8QbwyfvQy1GtCPMHPtjw==" spinCount="100000" sheet="1" selectLockedCells="1"/>
  <mergeCells count="45">
    <mergeCell ref="F51:I51"/>
    <mergeCell ref="A53:D53"/>
    <mergeCell ref="A51:D51"/>
    <mergeCell ref="A26:I26"/>
    <mergeCell ref="A2:C2"/>
    <mergeCell ref="A3:C3"/>
    <mergeCell ref="A4:C4"/>
    <mergeCell ref="F47:I47"/>
    <mergeCell ref="A45:B45"/>
    <mergeCell ref="A47:D47"/>
    <mergeCell ref="A37:I37"/>
    <mergeCell ref="A43:D43"/>
    <mergeCell ref="F42:I42"/>
    <mergeCell ref="A99:I99"/>
    <mergeCell ref="A102:I102"/>
    <mergeCell ref="A105:I105"/>
    <mergeCell ref="B87:I87"/>
    <mergeCell ref="H49:I49"/>
    <mergeCell ref="A69:D69"/>
    <mergeCell ref="A67:D67"/>
    <mergeCell ref="A61:D61"/>
    <mergeCell ref="H65:I65"/>
    <mergeCell ref="F67:I67"/>
    <mergeCell ref="B93:I93"/>
    <mergeCell ref="B94:I94"/>
    <mergeCell ref="B95:I95"/>
    <mergeCell ref="A55:F55"/>
    <mergeCell ref="A57:F57"/>
    <mergeCell ref="A59:F59"/>
    <mergeCell ref="A108:I108"/>
    <mergeCell ref="A49:F49"/>
    <mergeCell ref="A65:F65"/>
    <mergeCell ref="A75:B75"/>
    <mergeCell ref="A77:D77"/>
    <mergeCell ref="F77:I77"/>
    <mergeCell ref="A79:F79"/>
    <mergeCell ref="H79:I79"/>
    <mergeCell ref="A81:D81"/>
    <mergeCell ref="F81:I81"/>
    <mergeCell ref="A83:F83"/>
    <mergeCell ref="A85:F85"/>
    <mergeCell ref="A73:D73"/>
    <mergeCell ref="B96:I96"/>
    <mergeCell ref="F61:I61"/>
    <mergeCell ref="A92:I92"/>
  </mergeCells>
  <pageMargins left="0.7" right="0.7" top="0.26041666666666669" bottom="0.2708333333333333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156"/>
  <sheetViews>
    <sheetView showGridLines="0" tabSelected="1" workbookViewId="0">
      <selection activeCell="E6" sqref="E6"/>
    </sheetView>
  </sheetViews>
  <sheetFormatPr baseColWidth="10" defaultRowHeight="15" x14ac:dyDescent="0.25"/>
  <cols>
    <col min="1" max="2" width="5.7109375" customWidth="1"/>
    <col min="3" max="3" width="4.28515625" customWidth="1"/>
    <col min="4" max="4" width="52.140625" customWidth="1"/>
    <col min="5" max="5" width="58.42578125" bestFit="1" customWidth="1"/>
    <col min="6" max="6" width="17.28515625" customWidth="1"/>
    <col min="7" max="7" width="8.5703125" bestFit="1" customWidth="1"/>
    <col min="8" max="8" width="49.140625" customWidth="1"/>
    <col min="9" max="9" width="11.28515625" customWidth="1"/>
    <col min="10" max="10" width="33.7109375" bestFit="1" customWidth="1"/>
    <col min="11" max="12" width="53.42578125" bestFit="1" customWidth="1"/>
    <col min="13" max="13" width="38.42578125" bestFit="1" customWidth="1"/>
    <col min="14" max="14" width="14.42578125" bestFit="1" customWidth="1"/>
    <col min="15" max="15" width="22.42578125" bestFit="1" customWidth="1"/>
    <col min="16" max="17" width="33.85546875" bestFit="1" customWidth="1"/>
  </cols>
  <sheetData>
    <row r="1" spans="1:16" ht="35.25" x14ac:dyDescent="0.35">
      <c r="A1" s="2" t="s">
        <v>144</v>
      </c>
      <c r="B1" s="2"/>
      <c r="J1" s="58" t="s">
        <v>253</v>
      </c>
    </row>
    <row r="2" spans="1:16" ht="21" x14ac:dyDescent="0.25">
      <c r="A2" s="3" t="s">
        <v>7</v>
      </c>
      <c r="B2" s="3"/>
      <c r="J2" s="174" t="s">
        <v>252</v>
      </c>
    </row>
    <row r="4" spans="1:16" ht="28.5" x14ac:dyDescent="0.45">
      <c r="A4" s="20" t="s">
        <v>239</v>
      </c>
      <c r="B4" s="20"/>
      <c r="J4" s="196" t="s">
        <v>254</v>
      </c>
      <c r="K4" s="196"/>
      <c r="L4" s="196"/>
    </row>
    <row r="6" spans="1:16" ht="42.75" customHeight="1" x14ac:dyDescent="0.25">
      <c r="B6" s="159">
        <v>1</v>
      </c>
      <c r="C6" s="99" t="s">
        <v>76</v>
      </c>
      <c r="D6" s="100"/>
      <c r="E6" s="97" t="s">
        <v>150</v>
      </c>
      <c r="F6" s="200" t="s">
        <v>86</v>
      </c>
      <c r="G6" s="201"/>
      <c r="H6" s="202"/>
      <c r="I6" s="173" t="s">
        <v>248</v>
      </c>
      <c r="J6" s="175" t="s">
        <v>29</v>
      </c>
      <c r="K6" s="175" t="s">
        <v>30</v>
      </c>
      <c r="L6" s="175" t="s">
        <v>40</v>
      </c>
      <c r="M6" s="175" t="s">
        <v>187</v>
      </c>
      <c r="N6" s="175" t="s">
        <v>32</v>
      </c>
      <c r="O6" s="175" t="s">
        <v>161</v>
      </c>
      <c r="P6" s="175" t="s">
        <v>33</v>
      </c>
    </row>
    <row r="7" spans="1:16" ht="15" customHeight="1" x14ac:dyDescent="0.25"/>
    <row r="8" spans="1:16" ht="18.75" x14ac:dyDescent="0.3">
      <c r="B8" s="197">
        <v>2</v>
      </c>
      <c r="C8" s="157" t="s">
        <v>237</v>
      </c>
      <c r="D8" s="102"/>
      <c r="E8" s="102"/>
      <c r="F8" s="102"/>
      <c r="G8" s="103"/>
      <c r="H8" s="28"/>
    </row>
    <row r="9" spans="1:16" x14ac:dyDescent="0.25">
      <c r="B9" s="198"/>
      <c r="C9" s="29"/>
      <c r="D9" s="139" t="s">
        <v>198</v>
      </c>
      <c r="E9" s="98"/>
      <c r="F9" s="30"/>
      <c r="G9" s="104" t="s">
        <v>41</v>
      </c>
      <c r="H9" s="31" t="str">
        <f>IF(E9="","Fehlende Angabe","OK")</f>
        <v>Fehlende Angabe</v>
      </c>
      <c r="I9" s="173" t="s">
        <v>248</v>
      </c>
      <c r="J9" s="175" t="s">
        <v>196</v>
      </c>
      <c r="K9" s="175" t="s">
        <v>197</v>
      </c>
    </row>
    <row r="10" spans="1:16" x14ac:dyDescent="0.25">
      <c r="B10" s="198"/>
      <c r="C10" s="29"/>
      <c r="D10" s="30" t="s">
        <v>182</v>
      </c>
      <c r="E10" s="98"/>
      <c r="F10" s="30"/>
      <c r="G10" s="104" t="s">
        <v>41</v>
      </c>
      <c r="H10" s="31" t="str">
        <f>IF(E10="","Fehlende Angabe","OK")</f>
        <v>Fehlende Angabe</v>
      </c>
      <c r="I10" s="173" t="s">
        <v>248</v>
      </c>
      <c r="J10" s="175" t="s">
        <v>67</v>
      </c>
      <c r="K10" s="175" t="s">
        <v>68</v>
      </c>
    </row>
    <row r="11" spans="1:16" x14ac:dyDescent="0.25">
      <c r="B11" s="198"/>
      <c r="C11" s="29"/>
      <c r="D11" s="140" t="s">
        <v>241</v>
      </c>
      <c r="E11" s="141"/>
      <c r="F11" s="30"/>
      <c r="G11" s="104" t="s">
        <v>41</v>
      </c>
      <c r="H11" s="31" t="str">
        <f>IF(E11="","Fehlende Angabe","OK")</f>
        <v>Fehlende Angabe</v>
      </c>
    </row>
    <row r="12" spans="1:16" x14ac:dyDescent="0.25">
      <c r="B12" s="198"/>
      <c r="C12" s="29"/>
      <c r="D12" s="149" t="s">
        <v>229</v>
      </c>
      <c r="E12" s="105">
        <f>E11*0.5</f>
        <v>0</v>
      </c>
      <c r="F12" s="156" t="str">
        <f>IF(E12&lt;Hintergrunddaten!C101,"Achtung, Begrenzung der Fördersumme durch maximale Förderhöhe von 50 %!","")</f>
        <v/>
      </c>
      <c r="G12" s="30"/>
      <c r="H12" s="155"/>
    </row>
    <row r="13" spans="1:16" ht="26.25" customHeight="1" x14ac:dyDescent="0.25">
      <c r="B13" s="199"/>
      <c r="C13" s="32"/>
      <c r="D13" s="158" t="s">
        <v>225</v>
      </c>
      <c r="E13" s="125"/>
      <c r="F13" s="124"/>
      <c r="G13" s="124"/>
      <c r="H13" s="126"/>
    </row>
    <row r="14" spans="1:16" x14ac:dyDescent="0.25">
      <c r="J14" s="11" t="s">
        <v>249</v>
      </c>
      <c r="K14" s="176" t="s">
        <v>191</v>
      </c>
      <c r="L14" s="177" t="s">
        <v>192</v>
      </c>
      <c r="M14" s="176" t="s">
        <v>166</v>
      </c>
    </row>
    <row r="15" spans="1:16" ht="18.75" customHeight="1" x14ac:dyDescent="0.3">
      <c r="B15" s="203" t="s">
        <v>238</v>
      </c>
      <c r="C15" s="166" t="str">
        <f>Hintergrunddaten!B5</f>
        <v>Austauschprämie Zentralheizung</v>
      </c>
      <c r="D15" s="102"/>
      <c r="E15" s="102" t="str">
        <f>IF(C15=$E$6,"Aktiv","-")</f>
        <v>-</v>
      </c>
      <c r="F15" s="102"/>
      <c r="G15" s="103" t="s">
        <v>41</v>
      </c>
      <c r="H15" s="28" t="str">
        <f>IF(E15=Hintergrunddaten!$I$10,"OK","Programmpunkt Inaktiv")</f>
        <v>Programmpunkt Inaktiv</v>
      </c>
      <c r="J15" s="11" t="s">
        <v>98</v>
      </c>
      <c r="K15" s="178" t="s">
        <v>35</v>
      </c>
      <c r="L15" s="179" t="s">
        <v>39</v>
      </c>
      <c r="M15" s="178" t="s">
        <v>165</v>
      </c>
    </row>
    <row r="16" spans="1:16" ht="15" customHeight="1" x14ac:dyDescent="0.25">
      <c r="B16" s="204"/>
      <c r="C16" s="30"/>
      <c r="D16" s="30" t="s">
        <v>227</v>
      </c>
      <c r="E16" s="113"/>
      <c r="F16" s="30"/>
      <c r="G16" s="104" t="s">
        <v>41</v>
      </c>
      <c r="H16" s="31" t="str">
        <f>IF(E16="","Fehlende Angabe","OK")</f>
        <v>Fehlende Angabe</v>
      </c>
      <c r="J16" t="s">
        <v>255</v>
      </c>
      <c r="K16" s="180" t="s">
        <v>36</v>
      </c>
      <c r="L16" s="181" t="s">
        <v>164</v>
      </c>
      <c r="M16" s="180"/>
    </row>
    <row r="17" spans="2:13" ht="15" customHeight="1" x14ac:dyDescent="0.25">
      <c r="B17" s="204"/>
      <c r="C17" s="30"/>
      <c r="D17" s="30" t="s">
        <v>34</v>
      </c>
      <c r="E17" s="113"/>
      <c r="F17" s="30"/>
      <c r="G17" s="104" t="s">
        <v>41</v>
      </c>
      <c r="H17" s="31" t="str">
        <f>IF(E17="","Fehlende Angabe",IF(E16=Hintergrunddaten!E3,IF(ISNA(MATCH(E17,Hintergrunddaten!E4:E10,0))=TRUE(),"Anlage nicht förderbar","OK"),IF(E16=Hintergrunddaten!F3,IF(ISNA(MATCH(E17,Hintergrunddaten!F4:F10,0))=TRUE(),"Anlage nicht förderbar","OK"),IF(E16=Hintergrunddaten!G3,IF(ISNA(MATCH(E17,Hintergrunddaten!G4:G10,0))=TRUE(),"Anlage nicht förderbar","OK")))))</f>
        <v>Fehlende Angabe</v>
      </c>
      <c r="K17" s="180" t="s">
        <v>39</v>
      </c>
      <c r="L17" s="181" t="s">
        <v>37</v>
      </c>
      <c r="M17" s="180"/>
    </row>
    <row r="18" spans="2:13" ht="15" customHeight="1" x14ac:dyDescent="0.25">
      <c r="B18" s="204"/>
      <c r="C18" s="30"/>
      <c r="D18" s="47" t="s">
        <v>43</v>
      </c>
      <c r="E18" s="105">
        <f>IF(AND(H15="OK",H16="OK",H17="OK")=TRUE(),VLOOKUP(E17,Hintergrunddaten!B17:C26,2,),0)</f>
        <v>0</v>
      </c>
      <c r="F18" s="160">
        <v>0</v>
      </c>
      <c r="G18" s="144" t="s">
        <v>234</v>
      </c>
      <c r="H18" s="145"/>
      <c r="K18" s="180" t="s">
        <v>164</v>
      </c>
      <c r="L18" s="181" t="s">
        <v>42</v>
      </c>
      <c r="M18" s="180"/>
    </row>
    <row r="19" spans="2:13" ht="15" customHeight="1" x14ac:dyDescent="0.25">
      <c r="B19" s="204"/>
      <c r="C19" s="33"/>
      <c r="D19" s="124" t="s">
        <v>71</v>
      </c>
      <c r="E19" s="125" t="str">
        <f>Hintergrunddaten!I30&amp;" % der förderfähigen Kosten"</f>
        <v>50 % der förderfähigen Kosten</v>
      </c>
      <c r="F19" s="148"/>
      <c r="G19" s="147"/>
      <c r="H19" s="126"/>
      <c r="K19" s="180" t="s">
        <v>37</v>
      </c>
      <c r="L19" s="181" t="s">
        <v>167</v>
      </c>
      <c r="M19" s="180"/>
    </row>
    <row r="20" spans="2:13" x14ac:dyDescent="0.25">
      <c r="B20" s="204"/>
      <c r="C20" s="162"/>
      <c r="D20" s="163"/>
      <c r="E20" s="164"/>
      <c r="F20" s="162"/>
      <c r="G20" s="162"/>
      <c r="H20" s="165"/>
      <c r="K20" s="180" t="s">
        <v>42</v>
      </c>
      <c r="L20" s="181"/>
      <c r="M20" s="180"/>
    </row>
    <row r="21" spans="2:13" ht="18.75" x14ac:dyDescent="0.3">
      <c r="B21" s="204"/>
      <c r="C21" s="166" t="str">
        <f>Hintergrunddaten!B6</f>
        <v>Thermische Solaranlage</v>
      </c>
      <c r="D21" s="102"/>
      <c r="E21" s="102" t="str">
        <f>IF(C21=$E$6,"Aktiv","-")</f>
        <v>-</v>
      </c>
      <c r="F21" s="102"/>
      <c r="G21" s="103" t="s">
        <v>41</v>
      </c>
      <c r="H21" s="28" t="str">
        <f>IF(E21=Hintergrunddaten!$I$10,"OK","Programmpunkt Inaktiv")</f>
        <v>Programmpunkt Inaktiv</v>
      </c>
      <c r="K21" s="182" t="s">
        <v>167</v>
      </c>
      <c r="L21" s="183"/>
      <c r="M21" s="182"/>
    </row>
    <row r="22" spans="2:13" x14ac:dyDescent="0.25">
      <c r="B22" s="204"/>
      <c r="C22" s="30"/>
      <c r="D22" s="114" t="s">
        <v>63</v>
      </c>
      <c r="E22" s="122">
        <f>Hintergrunddaten!C28</f>
        <v>80</v>
      </c>
      <c r="F22" s="114" t="s">
        <v>87</v>
      </c>
      <c r="G22" s="114"/>
      <c r="H22" s="123"/>
    </row>
    <row r="23" spans="2:13" x14ac:dyDescent="0.25">
      <c r="B23" s="204"/>
      <c r="C23" s="30"/>
      <c r="D23" s="114" t="str">
        <f>"- Mindestanforderung: "&amp;Hintergrunddaten!E28&amp;" m² Kollektorfläche zur Heizungsunterstützung und/oder Trinkwarmwasserbereitung und 450 Liter Pufferspeichervolumen"</f>
        <v>- Mindestanforderung: 6 m² Kollektorfläche zur Heizungsunterstützung und/oder Trinkwarmwasserbereitung und 450 Liter Pufferspeichervolumen</v>
      </c>
      <c r="E23" s="106"/>
      <c r="F23" s="30"/>
      <c r="G23" s="30"/>
      <c r="H23" s="31"/>
    </row>
    <row r="24" spans="2:13" x14ac:dyDescent="0.25">
      <c r="B24" s="204"/>
      <c r="C24" s="30"/>
      <c r="D24" s="114" t="str">
        <f>"- Nutzbares Pufferspeichervolumen von mindestens "&amp;Hintergrunddaten!G14&amp;" Liter pro m² (Reduzierte Förderung bei geringerem Speichervolumen)"</f>
        <v>- Nutzbares Pufferspeichervolumen von mindestens 75 Liter pro m² (Reduzierte Förderung bei geringerem Speichervolumen)</v>
      </c>
      <c r="E24" s="106"/>
      <c r="F24" s="30"/>
      <c r="G24" s="30"/>
      <c r="H24" s="31"/>
    </row>
    <row r="25" spans="2:13" x14ac:dyDescent="0.25">
      <c r="B25" s="204"/>
      <c r="C25" s="30"/>
      <c r="D25" s="115" t="s">
        <v>188</v>
      </c>
      <c r="E25" s="30"/>
      <c r="F25" s="30"/>
      <c r="G25" s="30"/>
      <c r="H25" s="31"/>
    </row>
    <row r="26" spans="2:13" x14ac:dyDescent="0.25">
      <c r="B26" s="204"/>
      <c r="C26" s="30"/>
      <c r="D26" s="30" t="s">
        <v>44</v>
      </c>
      <c r="E26" s="111"/>
      <c r="F26" s="30" t="s">
        <v>47</v>
      </c>
      <c r="G26" s="104" t="s">
        <v>41</v>
      </c>
      <c r="H26" s="31" t="str">
        <f>IF(E26&lt;Hintergrunddaten!E28,"Anlage nicht förderbar","OK")</f>
        <v>Anlage nicht förderbar</v>
      </c>
    </row>
    <row r="27" spans="2:13" x14ac:dyDescent="0.25">
      <c r="B27" s="204"/>
      <c r="C27" s="30"/>
      <c r="D27" s="30" t="s">
        <v>45</v>
      </c>
      <c r="E27" s="161"/>
      <c r="F27" s="30" t="s">
        <v>46</v>
      </c>
      <c r="G27" s="104" t="s">
        <v>41</v>
      </c>
      <c r="H27" s="31" t="str">
        <f>IF(E27&lt;Hintergrunddaten!E28*Hintergrunddaten!G14,"Anlage nicht förderbar","OK")</f>
        <v>Anlage nicht förderbar</v>
      </c>
    </row>
    <row r="28" spans="2:13" x14ac:dyDescent="0.25">
      <c r="B28" s="204"/>
      <c r="C28" s="30"/>
      <c r="D28" s="30" t="s">
        <v>190</v>
      </c>
      <c r="E28" s="127">
        <f>IF(MIN(ROUNDDOWN(E26,0),ROUNDDOWN(E27/Hintergrunddaten!G14,0))&lt;Hintergrunddaten!E28,0,IF(MIN(ROUNDDOWN(E26,0),ROUNDDOWN(E27/Hintergrunddaten!G14,0))&gt;Hintergrunddaten!G28,Hintergrunddaten!G28,MIN(ROUNDDOWN(E26,0),ROUNDDOWN(E27/Hintergrunddaten!G14,0))))</f>
        <v>0</v>
      </c>
      <c r="F28" s="30"/>
      <c r="G28" s="104"/>
      <c r="H28" s="31"/>
    </row>
    <row r="29" spans="2:13" x14ac:dyDescent="0.25">
      <c r="B29" s="204"/>
      <c r="C29" s="30"/>
      <c r="D29" s="47" t="s">
        <v>59</v>
      </c>
      <c r="E29" s="105">
        <f>IF(AND(H21="OK",H26="OK",H27="OK")=TRUE(),(IF((E28*E22)&lt;E30,(E28*E22),E30)),0)</f>
        <v>0</v>
      </c>
      <c r="F29" s="47"/>
      <c r="G29" s="30" t="str">
        <f>IF(AND(H21="OK",E30=0),"Achtung: Minimaler Förderbetrag unterschritten","")</f>
        <v/>
      </c>
      <c r="H29" s="108"/>
    </row>
    <row r="30" spans="2:13" x14ac:dyDescent="0.25">
      <c r="B30" s="204"/>
      <c r="C30" s="30"/>
      <c r="D30" s="45" t="s">
        <v>69</v>
      </c>
      <c r="E30" s="109">
        <f>Hintergrunddaten!H28</f>
        <v>2400</v>
      </c>
      <c r="F30" s="160">
        <f>IF(H21="OK",Hintergrunddaten!F28,0)</f>
        <v>0</v>
      </c>
      <c r="G30" s="144" t="s">
        <v>234</v>
      </c>
      <c r="H30" s="145"/>
    </row>
    <row r="31" spans="2:13" x14ac:dyDescent="0.25">
      <c r="B31" s="204"/>
      <c r="C31" s="33"/>
      <c r="D31" s="124" t="s">
        <v>71</v>
      </c>
      <c r="E31" s="125" t="str">
        <f>Hintergrunddaten!I28&amp;" % der förderfähigen Kosten"</f>
        <v>50 % der förderfähigen Kosten</v>
      </c>
      <c r="F31" s="125" t="str">
        <f>Hintergrunddaten!J28&amp;" % der förderfähigen Kosten"</f>
        <v xml:space="preserve"> % der förderfähigen Kosten</v>
      </c>
      <c r="G31" s="125" t="str">
        <f>Hintergrunddaten!K28&amp;" % der förderfähigen Kosten"</f>
        <v xml:space="preserve"> % der förderfähigen Kosten</v>
      </c>
      <c r="H31" s="126"/>
    </row>
    <row r="32" spans="2:13" x14ac:dyDescent="0.25">
      <c r="B32" s="204"/>
      <c r="C32" s="162"/>
      <c r="D32" s="162"/>
      <c r="E32" s="162"/>
      <c r="F32" s="162"/>
      <c r="G32" s="162"/>
      <c r="H32" s="165"/>
    </row>
    <row r="33" spans="2:11" ht="18.75" x14ac:dyDescent="0.3">
      <c r="B33" s="204"/>
      <c r="C33" s="166" t="str">
        <f>Hintergrunddaten!B7</f>
        <v>PV-Speicher-Systeme</v>
      </c>
      <c r="D33" s="102"/>
      <c r="E33" s="102" t="str">
        <f>IF(C33=$E$6,"Aktiv","-")</f>
        <v>-</v>
      </c>
      <c r="F33" s="102"/>
      <c r="G33" s="103" t="s">
        <v>41</v>
      </c>
      <c r="H33" s="28" t="str">
        <f>IF(E33=Hintergrunddaten!$I$10,"OK","Programmpunkt Inaktiv")</f>
        <v>Programmpunkt Inaktiv</v>
      </c>
    </row>
    <row r="34" spans="2:11" x14ac:dyDescent="0.25">
      <c r="B34" s="204"/>
      <c r="C34" s="30"/>
      <c r="D34" s="30" t="s">
        <v>63</v>
      </c>
      <c r="E34" s="106">
        <f>Hintergrunddaten!C30</f>
        <v>100</v>
      </c>
      <c r="F34" s="30" t="s">
        <v>89</v>
      </c>
      <c r="G34" s="30"/>
      <c r="H34" s="31"/>
    </row>
    <row r="35" spans="2:11" x14ac:dyDescent="0.25">
      <c r="B35" s="204"/>
      <c r="C35" s="30"/>
      <c r="D35" s="114" t="str">
        <f>"- Mindestanforderung: "&amp;Hintergrunddaten!E30&amp;" kWp PV-Leistung und "&amp;Hintergrunddaten!E30&amp;" kWh nutzbare Speicherkapazität"</f>
        <v>- Mindestanforderung: 5 kWp PV-Leistung und 5 kWh nutzbare Speicherkapazität</v>
      </c>
      <c r="E35" s="106"/>
      <c r="F35" s="30"/>
      <c r="G35" s="30"/>
      <c r="H35" s="31"/>
    </row>
    <row r="36" spans="2:11" x14ac:dyDescent="0.25">
      <c r="B36" s="204"/>
      <c r="C36" s="30"/>
      <c r="D36" s="30" t="s">
        <v>60</v>
      </c>
      <c r="E36" s="111"/>
      <c r="F36" s="30" t="s">
        <v>61</v>
      </c>
      <c r="G36" s="104" t="s">
        <v>41</v>
      </c>
      <c r="H36" s="31" t="str">
        <f>IF(E36&lt;5,"Anlage nicht förderbar","OK")</f>
        <v>Anlage nicht förderbar</v>
      </c>
    </row>
    <row r="37" spans="2:11" x14ac:dyDescent="0.25">
      <c r="B37" s="204"/>
      <c r="C37" s="30"/>
      <c r="D37" s="30" t="s">
        <v>137</v>
      </c>
      <c r="E37" s="111"/>
      <c r="F37" s="30" t="s">
        <v>62</v>
      </c>
      <c r="G37" s="104" t="s">
        <v>41</v>
      </c>
      <c r="H37" s="31" t="str">
        <f>IF(E37&lt;5,"Anlage nicht förderbar","OK")</f>
        <v>Anlage nicht förderbar</v>
      </c>
    </row>
    <row r="38" spans="2:11" x14ac:dyDescent="0.25">
      <c r="B38" s="204"/>
      <c r="C38" s="30"/>
      <c r="D38" s="30" t="s">
        <v>85</v>
      </c>
      <c r="E38" s="110">
        <f>IF(ROUNDDOWN(MIN(E36:E37),0)&lt;Hintergrunddaten!E30,0,IF(ROUNDDOWN(MIN(E36:E37),0)&gt;Hintergrunddaten!G30,Hintergrunddaten!G30,ROUNDDOWN(MIN(E36:E37),0)))</f>
        <v>0</v>
      </c>
      <c r="F38" s="30"/>
      <c r="G38" s="30"/>
      <c r="H38" s="31"/>
    </row>
    <row r="39" spans="2:11" x14ac:dyDescent="0.25">
      <c r="B39" s="204"/>
      <c r="C39" s="30"/>
      <c r="D39" s="47" t="s">
        <v>59</v>
      </c>
      <c r="E39" s="105">
        <f>IF(AND(H33="OK",H36="OK",H37="OK")=TRUE(),IF((ROUNDDOWN(E38,0)*E34)&lt;E40,(ROUNDDOWN(E38,0)*E34),E40),0)</f>
        <v>0</v>
      </c>
      <c r="F39" s="30"/>
      <c r="G39" s="30"/>
      <c r="H39" s="31"/>
    </row>
    <row r="40" spans="2:11" x14ac:dyDescent="0.25">
      <c r="B40" s="204"/>
      <c r="C40" s="30"/>
      <c r="D40" s="45" t="s">
        <v>69</v>
      </c>
      <c r="E40" s="109">
        <f>Hintergrunddaten!H30</f>
        <v>3000</v>
      </c>
      <c r="F40" s="160">
        <f>IF(H33="OK",Hintergrunddaten!F30,0)</f>
        <v>0</v>
      </c>
      <c r="G40" s="144" t="s">
        <v>234</v>
      </c>
      <c r="H40" s="31"/>
    </row>
    <row r="41" spans="2:11" x14ac:dyDescent="0.25">
      <c r="B41" s="204"/>
      <c r="C41" s="33"/>
      <c r="D41" s="124" t="s">
        <v>71</v>
      </c>
      <c r="E41" s="125" t="str">
        <f>Hintergrunddaten!I38&amp;" % der förderfähigen Kosten"</f>
        <v xml:space="preserve"> % der förderfähigen Kosten</v>
      </c>
      <c r="F41" s="124"/>
      <c r="G41" s="124"/>
      <c r="H41" s="126"/>
    </row>
    <row r="42" spans="2:11" x14ac:dyDescent="0.25">
      <c r="B42" s="204"/>
      <c r="C42" s="162"/>
      <c r="D42" s="162"/>
      <c r="E42" s="162"/>
      <c r="F42" s="162"/>
      <c r="G42" s="162"/>
      <c r="H42" s="165"/>
    </row>
    <row r="43" spans="2:11" ht="18.75" x14ac:dyDescent="0.3">
      <c r="B43" s="204"/>
      <c r="C43" s="166" t="str">
        <f>Hintergrunddaten!B8</f>
        <v>Dämmmaßnahmen an Bestandsgebäuden</v>
      </c>
      <c r="D43" s="102"/>
      <c r="E43" s="102" t="str">
        <f>IF(C43=$E$6,"Aktiv","-")</f>
        <v>-</v>
      </c>
      <c r="F43" s="102"/>
      <c r="G43" s="103" t="s">
        <v>41</v>
      </c>
      <c r="H43" s="28" t="str">
        <f>IF(E43=Hintergrunddaten!$I$10,"OK","Programmpunkt Inaktiv")</f>
        <v>Programmpunkt Inaktiv</v>
      </c>
      <c r="J43" t="s">
        <v>250</v>
      </c>
      <c r="K43" t="s">
        <v>251</v>
      </c>
    </row>
    <row r="44" spans="2:11" ht="7.5" customHeight="1" x14ac:dyDescent="0.25">
      <c r="B44" s="204"/>
      <c r="C44" s="30"/>
      <c r="D44" s="30"/>
      <c r="E44" s="30"/>
      <c r="F44" s="30"/>
      <c r="G44" s="30"/>
      <c r="H44" s="31"/>
    </row>
    <row r="45" spans="2:11" x14ac:dyDescent="0.25">
      <c r="B45" s="204"/>
      <c r="C45" s="30"/>
      <c r="D45" s="30" t="s">
        <v>172</v>
      </c>
      <c r="E45" s="112"/>
      <c r="F45" s="30"/>
      <c r="G45" s="104" t="s">
        <v>41</v>
      </c>
      <c r="H45" s="31" t="str">
        <f>IF(E45="","Fehlende Angabe",IF(E45=Hintergrunddaten!I7,"OK","Maßnahme nicht förderbar"))</f>
        <v>Fehlende Angabe</v>
      </c>
      <c r="I45" s="173" t="s">
        <v>248</v>
      </c>
      <c r="J45" s="175" t="s">
        <v>170</v>
      </c>
      <c r="K45" s="175" t="s">
        <v>171</v>
      </c>
    </row>
    <row r="46" spans="2:11" ht="9" customHeight="1" x14ac:dyDescent="0.25">
      <c r="B46" s="204"/>
      <c r="C46" s="30"/>
      <c r="D46" s="30"/>
      <c r="E46" s="30"/>
      <c r="F46" s="30"/>
      <c r="G46" s="30"/>
      <c r="H46" s="31"/>
    </row>
    <row r="47" spans="2:11" x14ac:dyDescent="0.25">
      <c r="B47" s="204"/>
      <c r="C47" s="30"/>
      <c r="D47" s="47" t="str">
        <f>Hintergrunddaten!B32</f>
        <v>Außenwanddämmung</v>
      </c>
      <c r="E47" s="30"/>
      <c r="F47" s="30"/>
      <c r="G47" s="104"/>
      <c r="H47" s="31"/>
    </row>
    <row r="48" spans="2:11" x14ac:dyDescent="0.25">
      <c r="B48" s="204"/>
      <c r="C48" s="30"/>
      <c r="D48" s="121" t="s">
        <v>75</v>
      </c>
      <c r="E48" s="122">
        <f>Hintergrunddaten!C32</f>
        <v>12</v>
      </c>
      <c r="F48" s="114" t="s">
        <v>87</v>
      </c>
      <c r="G48" s="114" t="str">
        <f>"Mindestens: "&amp;Hintergrunddaten!E32&amp; " m²"</f>
        <v>Mindestens: 20 m²</v>
      </c>
      <c r="H48" s="123"/>
    </row>
    <row r="49" spans="2:11" x14ac:dyDescent="0.25">
      <c r="B49" s="204"/>
      <c r="C49" s="30"/>
      <c r="D49" s="114" t="str">
        <f>"- "&amp;Hintergrunddaten!B33</f>
        <v>- Zusätzlich: Ökobonus</v>
      </c>
      <c r="E49" s="122">
        <f>Hintergrunddaten!C33</f>
        <v>6</v>
      </c>
      <c r="F49" s="114" t="s">
        <v>87</v>
      </c>
      <c r="G49" s="114" t="s">
        <v>70</v>
      </c>
      <c r="H49" s="123"/>
    </row>
    <row r="50" spans="2:11" x14ac:dyDescent="0.25">
      <c r="B50" s="204"/>
      <c r="C50" s="30"/>
      <c r="D50" s="30" t="s">
        <v>112</v>
      </c>
      <c r="E50" s="111"/>
      <c r="F50" s="30" t="s">
        <v>47</v>
      </c>
      <c r="G50" s="104" t="s">
        <v>41</v>
      </c>
      <c r="H50" s="31" t="str">
        <f>IF(E50&lt;Hintergrunddaten!E32,"Unterpunkt nicht förderbar","OK")</f>
        <v>Unterpunkt nicht förderbar</v>
      </c>
    </row>
    <row r="51" spans="2:11" x14ac:dyDescent="0.25">
      <c r="B51" s="204"/>
      <c r="C51" s="30"/>
      <c r="D51" s="30" t="s">
        <v>158</v>
      </c>
      <c r="E51" s="112"/>
      <c r="F51" s="30"/>
      <c r="G51" s="104" t="s">
        <v>41</v>
      </c>
      <c r="H51" s="31" t="str">
        <f>IF(E51="","Fehlende Angabe","OK")</f>
        <v>Fehlende Angabe</v>
      </c>
      <c r="I51" s="173" t="s">
        <v>248</v>
      </c>
      <c r="J51" s="175" t="s">
        <v>67</v>
      </c>
      <c r="K51" s="175" t="s">
        <v>68</v>
      </c>
    </row>
    <row r="52" spans="2:11" x14ac:dyDescent="0.25">
      <c r="B52" s="204"/>
      <c r="C52" s="30"/>
      <c r="D52" s="47" t="s">
        <v>43</v>
      </c>
      <c r="E52" s="105">
        <f>IF(AND(H50="OK",H51="OK")=TRUE(),IF(IF(E51="Ja",ROUNDDOWN(E50,0)*E48+ROUNDDOWN(E50,0)*E49,ROUNDDOWN(E50,0)*E48)&lt;E53,IF(E51="Ja",ROUNDDOWN(E50,0)*E48+ROUNDDOWN(E50,0)*E49,ROUNDDOWN(E50,0)*E48),E53),0)</f>
        <v>0</v>
      </c>
      <c r="F52" s="30"/>
      <c r="G52" s="30"/>
      <c r="H52" s="31"/>
    </row>
    <row r="53" spans="2:11" x14ac:dyDescent="0.25">
      <c r="B53" s="204"/>
      <c r="C53" s="30"/>
      <c r="D53" s="45" t="s">
        <v>69</v>
      </c>
      <c r="E53" s="109">
        <f>IF(E51="Ja",Hintergrunddaten!H32+Hintergrunddaten!H33,Hintergrunddaten!H32)</f>
        <v>4800</v>
      </c>
      <c r="F53" s="143">
        <f>IF(E50&lt;Hintergrunddaten!E32,0,IF(E51="Ja",Hintergrunddaten!F32+Hintergrunddaten!F33,Hintergrunddaten!F32))</f>
        <v>0</v>
      </c>
      <c r="G53" s="144" t="s">
        <v>233</v>
      </c>
      <c r="H53" s="31"/>
    </row>
    <row r="54" spans="2:11" ht="9" customHeight="1" x14ac:dyDescent="0.25">
      <c r="B54" s="204"/>
      <c r="C54" s="30"/>
      <c r="D54" s="30"/>
      <c r="E54" s="30"/>
      <c r="F54" s="30"/>
      <c r="G54" s="30"/>
      <c r="H54" s="31"/>
    </row>
    <row r="55" spans="2:11" x14ac:dyDescent="0.25">
      <c r="B55" s="204"/>
      <c r="C55" s="30"/>
      <c r="D55" s="47" t="str">
        <f>Hintergrunddaten!B34</f>
        <v>Dämmung Oberste Geschossdecke/Dach</v>
      </c>
      <c r="E55" s="30"/>
      <c r="F55" s="30"/>
      <c r="G55" s="104"/>
      <c r="H55" s="31"/>
    </row>
    <row r="56" spans="2:11" x14ac:dyDescent="0.25">
      <c r="B56" s="204"/>
      <c r="C56" s="30"/>
      <c r="D56" s="121" t="s">
        <v>75</v>
      </c>
      <c r="E56" s="122">
        <f>Hintergrunddaten!C34</f>
        <v>8</v>
      </c>
      <c r="F56" s="114" t="s">
        <v>87</v>
      </c>
      <c r="G56" s="114" t="str">
        <f>"Mindestens: "&amp;Hintergrunddaten!E34&amp; " m²"</f>
        <v>Mindestens: 20 m²</v>
      </c>
      <c r="H56" s="123"/>
    </row>
    <row r="57" spans="2:11" x14ac:dyDescent="0.25">
      <c r="B57" s="204"/>
      <c r="C57" s="30"/>
      <c r="D57" s="114" t="str">
        <f>"- "&amp;Hintergrunddaten!B35</f>
        <v>- Zusätzlich: Ökobonus</v>
      </c>
      <c r="E57" s="122">
        <f>Hintergrunddaten!C35</f>
        <v>6</v>
      </c>
      <c r="F57" s="114" t="s">
        <v>87</v>
      </c>
      <c r="G57" s="114" t="s">
        <v>70</v>
      </c>
      <c r="H57" s="123"/>
    </row>
    <row r="58" spans="2:11" x14ac:dyDescent="0.25">
      <c r="B58" s="204"/>
      <c r="C58" s="30"/>
      <c r="D58" s="30" t="s">
        <v>111</v>
      </c>
      <c r="E58" s="111"/>
      <c r="F58" s="30" t="s">
        <v>47</v>
      </c>
      <c r="G58" s="104" t="s">
        <v>41</v>
      </c>
      <c r="H58" s="31" t="str">
        <f>IF(E58&lt;Hintergrunddaten!E34,"Unterpunkt nicht förderbar","OK")</f>
        <v>Unterpunkt nicht förderbar</v>
      </c>
    </row>
    <row r="59" spans="2:11" x14ac:dyDescent="0.25">
      <c r="B59" s="204"/>
      <c r="C59" s="30"/>
      <c r="D59" s="30" t="s">
        <v>158</v>
      </c>
      <c r="E59" s="112"/>
      <c r="F59" s="30"/>
      <c r="G59" s="104" t="s">
        <v>41</v>
      </c>
      <c r="H59" s="31" t="str">
        <f>IF(E59="","Fehlende Angabe","OK")</f>
        <v>Fehlende Angabe</v>
      </c>
      <c r="I59" s="173" t="s">
        <v>248</v>
      </c>
      <c r="J59" s="175" t="s">
        <v>67</v>
      </c>
      <c r="K59" s="175" t="s">
        <v>68</v>
      </c>
    </row>
    <row r="60" spans="2:11" x14ac:dyDescent="0.25">
      <c r="B60" s="204"/>
      <c r="C60" s="30"/>
      <c r="D60" s="47" t="s">
        <v>43</v>
      </c>
      <c r="E60" s="105">
        <f>IF(AND(H58="OK",H58="OK")=TRUE(),IF(IF(E59="Ja",ROUNDDOWN(E58,0)*E56+ROUNDDOWN(E58,0)*E57,ROUNDDOWN(E58,0)*E56)&lt;E61,IF(E59="Ja",ROUNDDOWN(E58,0)*E56+ROUNDDOWN(E58,0)*E57,ROUNDDOWN(E58,0)*E56),E61),0)</f>
        <v>0</v>
      </c>
      <c r="F60" s="30"/>
      <c r="G60" s="30"/>
      <c r="H60" s="31"/>
    </row>
    <row r="61" spans="2:11" x14ac:dyDescent="0.25">
      <c r="B61" s="204"/>
      <c r="C61" s="30"/>
      <c r="D61" s="45" t="s">
        <v>69</v>
      </c>
      <c r="E61" s="109">
        <f>IF(E59="Ja",Hintergrunddaten!H34+Hintergrunddaten!H35,Hintergrunddaten!H34)</f>
        <v>1600</v>
      </c>
      <c r="F61" s="143">
        <f>IF(E58&lt;Hintergrunddaten!E34,0,IF(E59="Ja",Hintergrunddaten!F34+Hintergrunddaten!F35,Hintergrunddaten!F34))</f>
        <v>0</v>
      </c>
      <c r="G61" s="144" t="s">
        <v>233</v>
      </c>
      <c r="H61" s="146"/>
    </row>
    <row r="62" spans="2:11" ht="9" customHeight="1" x14ac:dyDescent="0.25">
      <c r="B62" s="204"/>
      <c r="C62" s="30"/>
      <c r="D62" s="30"/>
      <c r="E62" s="30"/>
      <c r="F62" s="30"/>
      <c r="G62" s="30"/>
      <c r="H62" s="31"/>
    </row>
    <row r="63" spans="2:11" x14ac:dyDescent="0.25">
      <c r="B63" s="204"/>
      <c r="C63" s="30"/>
      <c r="D63" s="47" t="str">
        <f>Hintergrunddaten!B36</f>
        <v>Dämmung Kellerdecke/Bodenplatte</v>
      </c>
      <c r="E63" s="30"/>
      <c r="F63" s="30"/>
      <c r="G63" s="30"/>
      <c r="H63" s="31"/>
    </row>
    <row r="64" spans="2:11" x14ac:dyDescent="0.25">
      <c r="B64" s="204"/>
      <c r="C64" s="30"/>
      <c r="D64" s="121" t="s">
        <v>75</v>
      </c>
      <c r="E64" s="122">
        <f>Hintergrunddaten!C36</f>
        <v>6</v>
      </c>
      <c r="F64" s="114" t="s">
        <v>87</v>
      </c>
      <c r="G64" s="114" t="str">
        <f>"Mindestens: "&amp;Hintergrunddaten!E36&amp; " m²"</f>
        <v>Mindestens: 20 m²</v>
      </c>
      <c r="H64" s="123"/>
    </row>
    <row r="65" spans="2:11" x14ac:dyDescent="0.25">
      <c r="B65" s="204"/>
      <c r="C65" s="30"/>
      <c r="D65" s="114" t="str">
        <f>"- "&amp;Hintergrunddaten!B37</f>
        <v>- Zusätzlich: Ökobonus</v>
      </c>
      <c r="E65" s="122">
        <f>Hintergrunddaten!C37</f>
        <v>6</v>
      </c>
      <c r="F65" s="114" t="s">
        <v>87</v>
      </c>
      <c r="G65" s="114" t="s">
        <v>70</v>
      </c>
      <c r="H65" s="123"/>
    </row>
    <row r="66" spans="2:11" x14ac:dyDescent="0.25">
      <c r="B66" s="204"/>
      <c r="C66" s="30"/>
      <c r="D66" s="30" t="s">
        <v>110</v>
      </c>
      <c r="E66" s="111"/>
      <c r="F66" s="30" t="s">
        <v>47</v>
      </c>
      <c r="G66" s="104" t="s">
        <v>41</v>
      </c>
      <c r="H66" s="31" t="str">
        <f>IF(E66&lt;Hintergrunddaten!E36,"Unterpunkt nicht förderbar","OK")</f>
        <v>Unterpunkt nicht förderbar</v>
      </c>
    </row>
    <row r="67" spans="2:11" x14ac:dyDescent="0.25">
      <c r="B67" s="204"/>
      <c r="C67" s="30"/>
      <c r="D67" s="30" t="s">
        <v>158</v>
      </c>
      <c r="E67" s="112"/>
      <c r="F67" s="30"/>
      <c r="G67" s="104" t="s">
        <v>41</v>
      </c>
      <c r="H67" s="31" t="str">
        <f>IF(E67="","Fehlende Angabe","OK")</f>
        <v>Fehlende Angabe</v>
      </c>
      <c r="I67" s="173" t="s">
        <v>248</v>
      </c>
      <c r="J67" s="175" t="s">
        <v>67</v>
      </c>
      <c r="K67" s="175" t="s">
        <v>68</v>
      </c>
    </row>
    <row r="68" spans="2:11" x14ac:dyDescent="0.25">
      <c r="B68" s="204"/>
      <c r="C68" s="30"/>
      <c r="D68" s="47" t="s">
        <v>43</v>
      </c>
      <c r="E68" s="105">
        <f>IF(AND(H66="OK",H67="OK")=TRUE(),IF(IF(E67="Ja",ROUNDDOWN(E66,0)*E64+ROUNDDOWN(E66,0)*E65,ROUNDDOWN(E66,0)*E64)&lt;E69,IF(E67="Ja",ROUNDDOWN(E66,0)*E64+ROUNDDOWN(E66,0)*E65,ROUNDDOWN(E66,0)*E64),E69),0)</f>
        <v>0</v>
      </c>
      <c r="F68" s="30"/>
      <c r="G68" s="30"/>
      <c r="H68" s="31"/>
    </row>
    <row r="69" spans="2:11" x14ac:dyDescent="0.25">
      <c r="B69" s="204"/>
      <c r="C69" s="30"/>
      <c r="D69" s="45" t="s">
        <v>69</v>
      </c>
      <c r="E69" s="109">
        <f>IF(E67="Ja",Hintergrunddaten!H36+Hintergrunddaten!H37,Hintergrunddaten!H36)</f>
        <v>1200</v>
      </c>
      <c r="F69" s="143">
        <f>IF(E66&lt;Hintergrunddaten!E36,0,IF(E67="Ja",Hintergrunddaten!F36+Hintergrunddaten!F37,Hintergrunddaten!F36))</f>
        <v>0</v>
      </c>
      <c r="G69" s="144" t="s">
        <v>233</v>
      </c>
      <c r="H69" s="31"/>
    </row>
    <row r="70" spans="2:11" ht="9" customHeight="1" x14ac:dyDescent="0.25">
      <c r="B70" s="204"/>
      <c r="C70" s="30"/>
      <c r="D70" s="30"/>
      <c r="E70" s="30"/>
      <c r="F70" s="144"/>
      <c r="G70" s="144"/>
      <c r="H70" s="31"/>
    </row>
    <row r="71" spans="2:11" x14ac:dyDescent="0.25">
      <c r="B71" s="204"/>
      <c r="C71" s="30"/>
      <c r="D71" s="47" t="s">
        <v>228</v>
      </c>
      <c r="E71" s="105">
        <f>IF((AND(H43="OK",H45="OK")=TRUE()),E52+E60+E68,0)</f>
        <v>0</v>
      </c>
      <c r="F71" s="160">
        <f>IF(H43="OK",F53+F61+F69,0)</f>
        <v>0</v>
      </c>
      <c r="G71" s="144" t="s">
        <v>234</v>
      </c>
      <c r="H71" s="145"/>
    </row>
    <row r="72" spans="2:11" x14ac:dyDescent="0.25">
      <c r="B72" s="204"/>
      <c r="C72" s="33"/>
      <c r="D72" s="124" t="s">
        <v>71</v>
      </c>
      <c r="E72" s="125" t="str">
        <f>Hintergrunddaten!I32&amp;" % der förderfähigen Kosten"</f>
        <v>50 % der förderfähigen Kosten</v>
      </c>
      <c r="F72" s="125" t="str">
        <f>Hintergrunddaten!J32&amp;" % der förderfähigen Kosten"</f>
        <v xml:space="preserve"> % der förderfähigen Kosten</v>
      </c>
      <c r="G72" s="125" t="str">
        <f>Hintergrunddaten!K32&amp;" % der förderfähigen Kosten"</f>
        <v xml:space="preserve"> % der förderfähigen Kosten</v>
      </c>
      <c r="H72" s="150" t="str">
        <f>Hintergrunddaten!L32&amp;" % der förderfähigen Kosten"</f>
        <v xml:space="preserve"> % der förderfähigen Kosten</v>
      </c>
    </row>
    <row r="73" spans="2:11" x14ac:dyDescent="0.25">
      <c r="B73" s="204"/>
      <c r="C73" s="162"/>
      <c r="D73" s="162"/>
      <c r="E73" s="162"/>
      <c r="F73" s="162"/>
      <c r="G73" s="162"/>
      <c r="H73" s="165"/>
    </row>
    <row r="74" spans="2:11" ht="18.75" x14ac:dyDescent="0.3">
      <c r="B74" s="204"/>
      <c r="C74" s="166" t="str">
        <f>Hintergrunddaten!B38</f>
        <v>Lüftungsanlage</v>
      </c>
      <c r="D74" s="102"/>
      <c r="E74" s="102" t="str">
        <f>IF(C74=$E$6,"Aktiv","-")</f>
        <v>-</v>
      </c>
      <c r="F74" s="102"/>
      <c r="G74" s="103" t="s">
        <v>41</v>
      </c>
      <c r="H74" s="28" t="str">
        <f>IF(E74=Hintergrunddaten!$I$10,"OK","Programmpunkt Inaktiv")</f>
        <v>Programmpunkt Inaktiv</v>
      </c>
    </row>
    <row r="75" spans="2:11" x14ac:dyDescent="0.25">
      <c r="B75" s="204"/>
      <c r="C75" s="30"/>
      <c r="D75" s="30" t="s">
        <v>84</v>
      </c>
      <c r="E75" s="113"/>
      <c r="F75" s="30"/>
      <c r="G75" s="104" t="s">
        <v>41</v>
      </c>
      <c r="H75" s="31" t="str">
        <f>IF(E75="","Fehlende Angabe","OK")</f>
        <v>Fehlende Angabe</v>
      </c>
      <c r="I75" s="173" t="s">
        <v>248</v>
      </c>
      <c r="J75" s="175" t="s">
        <v>51</v>
      </c>
      <c r="K75" s="175" t="s">
        <v>52</v>
      </c>
    </row>
    <row r="76" spans="2:11" x14ac:dyDescent="0.25">
      <c r="B76" s="204"/>
      <c r="C76" s="30"/>
      <c r="D76" s="30" t="s">
        <v>63</v>
      </c>
      <c r="E76" s="106" t="str">
        <f>IF(E75="","-",VLOOKUP(Antragsdaten!E75,Hintergrunddaten!B39:C40,2,))</f>
        <v>-</v>
      </c>
      <c r="F76" s="30" t="str">
        <f>IF(E75="","",IF(E75=Hintergrunddaten!E13,"","pro Lüftungsgerät"))</f>
        <v/>
      </c>
      <c r="G76" s="30"/>
      <c r="H76" s="31"/>
    </row>
    <row r="77" spans="2:11" x14ac:dyDescent="0.25">
      <c r="B77" s="204"/>
      <c r="C77" s="30"/>
      <c r="D77" s="107" t="s">
        <v>82</v>
      </c>
      <c r="E77" s="112"/>
      <c r="F77" s="30" t="s">
        <v>81</v>
      </c>
      <c r="G77" s="104" t="s">
        <v>41</v>
      </c>
      <c r="H77" s="31" t="str">
        <f>IF(E75=Hintergrunddaten!E13,IF(E77&lt;Hintergrunddaten!E39,"Anlage nicht förderbar","OK"),IF(E77&lt;Hintergrunddaten!E40,"Anlage nicht förderbar","OK"))</f>
        <v>Anlage nicht förderbar</v>
      </c>
    </row>
    <row r="78" spans="2:11" x14ac:dyDescent="0.25">
      <c r="B78" s="204"/>
      <c r="C78" s="30"/>
      <c r="D78" s="47" t="s">
        <v>59</v>
      </c>
      <c r="E78" s="105">
        <f>IF(AND(H74="OK",H75="OK",H77="OK")=TRUE(),IF((ROUNDDOWN(E77,0)*E76)&lt;E79,(ROUNDDOWN(E77,0)*E76),E79),0)</f>
        <v>0</v>
      </c>
      <c r="F78" s="47"/>
      <c r="G78" s="47"/>
      <c r="H78" s="108"/>
    </row>
    <row r="79" spans="2:11" x14ac:dyDescent="0.25">
      <c r="B79" s="204"/>
      <c r="C79" s="30"/>
      <c r="D79" s="45" t="s">
        <v>69</v>
      </c>
      <c r="E79" s="109">
        <f>IF(E75="",0,VLOOKUP(E75,Hintergrunddaten!B39:I40,7,))</f>
        <v>0</v>
      </c>
      <c r="F79" s="160">
        <f>IF(H74&lt;&gt;"OK",0,IF(E75=Hintergrunddaten!E14,Hintergrunddaten!F40,IF(E75=Hintergrunddaten!E13,Hintergrunddaten!F39,0)))</f>
        <v>0</v>
      </c>
      <c r="G79" s="144" t="s">
        <v>234</v>
      </c>
      <c r="H79" s="31"/>
    </row>
    <row r="80" spans="2:11" x14ac:dyDescent="0.25">
      <c r="B80" s="204"/>
      <c r="C80" s="124"/>
      <c r="D80" s="124" t="s">
        <v>71</v>
      </c>
      <c r="E80" s="125" t="str">
        <f>Hintergrunddaten!I40&amp;" % der förderfähigen Kosten"</f>
        <v>50 % der förderfähigen Kosten</v>
      </c>
      <c r="F80" s="124"/>
      <c r="G80" s="124"/>
      <c r="H80" s="126"/>
    </row>
    <row r="81" spans="1:8" x14ac:dyDescent="0.25">
      <c r="B81" s="204"/>
      <c r="C81" s="162"/>
      <c r="D81" s="162"/>
      <c r="E81" s="162"/>
      <c r="F81" s="162"/>
      <c r="G81" s="162"/>
      <c r="H81" s="165"/>
    </row>
    <row r="82" spans="1:8" ht="18.75" x14ac:dyDescent="0.3">
      <c r="B82" s="204"/>
      <c r="C82" s="166" t="str">
        <f>Hintergrunddaten!B41</f>
        <v>Heizungspumpentausch</v>
      </c>
      <c r="D82" s="102"/>
      <c r="E82" s="102" t="str">
        <f>IF(C82=$E$6,"Aktiv","-")</f>
        <v>-</v>
      </c>
      <c r="F82" s="102"/>
      <c r="G82" s="103" t="s">
        <v>41</v>
      </c>
      <c r="H82" s="28" t="str">
        <f>IF(E82=Hintergrunddaten!$I$10,"OK","Programmpunkt Inaktiv")</f>
        <v>Programmpunkt Inaktiv</v>
      </c>
    </row>
    <row r="83" spans="1:8" x14ac:dyDescent="0.25">
      <c r="B83" s="204"/>
      <c r="C83" s="30"/>
      <c r="D83" s="114" t="s">
        <v>63</v>
      </c>
      <c r="E83" s="122">
        <f>Hintergrunddaten!C42</f>
        <v>50</v>
      </c>
      <c r="F83" s="114" t="s">
        <v>163</v>
      </c>
      <c r="G83" s="114"/>
      <c r="H83" s="123"/>
    </row>
    <row r="84" spans="1:8" x14ac:dyDescent="0.25">
      <c r="B84" s="204"/>
      <c r="C84" s="30"/>
      <c r="D84" s="30" t="s">
        <v>173</v>
      </c>
      <c r="E84" s="161"/>
      <c r="F84" s="30"/>
      <c r="G84" s="104" t="s">
        <v>41</v>
      </c>
      <c r="H84" s="31" t="str">
        <f>IF(E84&lt;Hintergrunddaten!E42,"Austausch nicht förderbar","OK")</f>
        <v>Austausch nicht förderbar</v>
      </c>
    </row>
    <row r="85" spans="1:8" x14ac:dyDescent="0.25">
      <c r="B85" s="204"/>
      <c r="C85" s="30"/>
      <c r="D85" s="47" t="s">
        <v>59</v>
      </c>
      <c r="E85" s="105">
        <f>IF(AND(H82="OK",H84="OK")=TRUE(),IF((ROUNDDOWN(E84,0)*E83)&lt;E86,(ROUNDDOWN(E84,0)*E83),E86),0)</f>
        <v>0</v>
      </c>
      <c r="F85" s="47"/>
      <c r="G85" s="47"/>
      <c r="H85" s="108"/>
    </row>
    <row r="86" spans="1:8" x14ac:dyDescent="0.25">
      <c r="B86" s="204"/>
      <c r="C86" s="30"/>
      <c r="D86" s="45" t="s">
        <v>69</v>
      </c>
      <c r="E86" s="109">
        <f>Hintergrunddaten!H42</f>
        <v>400</v>
      </c>
      <c r="F86" s="160">
        <f>IF(H82="OK",Hintergrunddaten!F42,0)</f>
        <v>0</v>
      </c>
      <c r="G86" s="144" t="s">
        <v>234</v>
      </c>
      <c r="H86" s="31"/>
    </row>
    <row r="87" spans="1:8" x14ac:dyDescent="0.25">
      <c r="B87" s="204"/>
      <c r="C87" s="33"/>
      <c r="D87" s="124" t="s">
        <v>71</v>
      </c>
      <c r="E87" s="125" t="str">
        <f>Hintergrunddaten!I42&amp;" % der förderfähigen Kosten"</f>
        <v>50 % der förderfähigen Kosten</v>
      </c>
      <c r="F87" s="124"/>
      <c r="G87" s="124"/>
      <c r="H87" s="126"/>
    </row>
    <row r="88" spans="1:8" x14ac:dyDescent="0.25">
      <c r="B88" s="204"/>
      <c r="C88" s="162"/>
      <c r="D88" s="162"/>
      <c r="E88" s="162"/>
      <c r="F88" s="162"/>
      <c r="G88" s="162"/>
      <c r="H88" s="165"/>
    </row>
    <row r="89" spans="1:8" ht="18.75" x14ac:dyDescent="0.3">
      <c r="B89" s="204"/>
      <c r="C89" s="166" t="str">
        <f>Hintergrunddaten!B43</f>
        <v>Begrünung und Flächenentsiegelung</v>
      </c>
      <c r="D89" s="102"/>
      <c r="E89" s="102" t="str">
        <f>IF(C89=$E$6,"Aktiv","-")</f>
        <v>-</v>
      </c>
      <c r="F89" s="102"/>
      <c r="G89" s="103" t="s">
        <v>41</v>
      </c>
      <c r="H89" s="28" t="str">
        <f>IF(E89=Hintergrunddaten!$I$10,"OK","Programmpunkt Inaktiv")</f>
        <v>Programmpunkt Inaktiv</v>
      </c>
    </row>
    <row r="90" spans="1:8" x14ac:dyDescent="0.25">
      <c r="B90" s="204"/>
      <c r="C90" s="30"/>
      <c r="D90" s="114" t="s">
        <v>63</v>
      </c>
      <c r="E90" s="122">
        <f>Hintergrunddaten!C44</f>
        <v>15</v>
      </c>
      <c r="F90" s="114" t="s">
        <v>87</v>
      </c>
      <c r="G90" s="114" t="str">
        <f>"Mindestens: "&amp;Hintergrunddaten!E44&amp;" m² Gründach, Substratdicke mind. 8 cm"</f>
        <v>Mindestens: 10 m² Gründach, Substratdicke mind. 8 cm</v>
      </c>
      <c r="H90" s="123"/>
    </row>
    <row r="91" spans="1:8" x14ac:dyDescent="0.25">
      <c r="B91" s="204"/>
      <c r="C91" s="30"/>
      <c r="D91" s="30" t="s">
        <v>90</v>
      </c>
      <c r="E91" s="168"/>
      <c r="F91" s="30" t="s">
        <v>47</v>
      </c>
      <c r="G91" s="104" t="s">
        <v>41</v>
      </c>
      <c r="H91" s="31" t="str">
        <f>IF(E91&lt;Hintergrunddaten!E44,"Anlage nicht förderbar","OK")</f>
        <v>Anlage nicht förderbar</v>
      </c>
    </row>
    <row r="92" spans="1:8" x14ac:dyDescent="0.25">
      <c r="B92" s="204"/>
      <c r="C92" s="30"/>
      <c r="D92" s="47" t="s">
        <v>59</v>
      </c>
      <c r="E92" s="105">
        <f>IF(AND(H89="OK",H91="OK")=TRUE(),IF((ROUNDDOWN(E91,0)*E90)&lt;E93,(ROUNDDOWN(E91,0)*E90),E93),0)</f>
        <v>0</v>
      </c>
      <c r="F92" s="47"/>
      <c r="G92" s="47"/>
      <c r="H92" s="108"/>
    </row>
    <row r="93" spans="1:8" x14ac:dyDescent="0.25">
      <c r="B93" s="204"/>
      <c r="C93" s="30"/>
      <c r="D93" s="45" t="s">
        <v>69</v>
      </c>
      <c r="E93" s="109">
        <f>Hintergrunddaten!H44</f>
        <v>4500</v>
      </c>
      <c r="F93" s="160">
        <f>IF(H89="OK",Hintergrunddaten!F44,0)</f>
        <v>0</v>
      </c>
      <c r="G93" s="144" t="s">
        <v>234</v>
      </c>
      <c r="H93" s="31"/>
    </row>
    <row r="94" spans="1:8" x14ac:dyDescent="0.25">
      <c r="B94" s="205"/>
      <c r="C94" s="33"/>
      <c r="D94" s="124" t="s">
        <v>71</v>
      </c>
      <c r="E94" s="125" t="str">
        <f>Hintergrunddaten!I44&amp;" % der förderfähigen Kosten"</f>
        <v>50 % der förderfähigen Kosten</v>
      </c>
      <c r="F94" s="124"/>
      <c r="G94" s="124"/>
      <c r="H94" s="126"/>
    </row>
    <row r="95" spans="1:8" x14ac:dyDescent="0.25">
      <c r="C95" s="23"/>
      <c r="D95" s="23"/>
      <c r="E95" s="23"/>
      <c r="F95" s="23"/>
      <c r="G95" s="23"/>
      <c r="H95" s="23"/>
    </row>
    <row r="96" spans="1:8" ht="28.5" x14ac:dyDescent="0.45">
      <c r="A96" s="20" t="s">
        <v>240</v>
      </c>
      <c r="B96" s="20"/>
      <c r="C96" s="23"/>
      <c r="D96" s="23"/>
      <c r="E96" s="23"/>
      <c r="F96" s="23"/>
      <c r="G96" s="23"/>
      <c r="H96" s="23"/>
    </row>
    <row r="97" spans="2:14" x14ac:dyDescent="0.25">
      <c r="C97" s="23"/>
      <c r="D97" s="23"/>
      <c r="E97" s="23"/>
      <c r="F97" s="23"/>
      <c r="G97" s="23"/>
      <c r="H97" s="23"/>
    </row>
    <row r="98" spans="2:14" ht="18.75" x14ac:dyDescent="0.3">
      <c r="B98" s="197">
        <v>4</v>
      </c>
      <c r="C98" s="101" t="s">
        <v>8</v>
      </c>
      <c r="D98" s="102"/>
      <c r="E98" s="102"/>
      <c r="F98" s="102"/>
      <c r="G98" s="102"/>
      <c r="H98" s="28"/>
    </row>
    <row r="99" spans="2:14" x14ac:dyDescent="0.25">
      <c r="B99" s="198"/>
      <c r="C99" s="29"/>
      <c r="D99" s="30" t="s">
        <v>199</v>
      </c>
      <c r="E99" s="113"/>
      <c r="F99" s="30"/>
      <c r="G99" s="104" t="s">
        <v>41</v>
      </c>
      <c r="H99" s="31" t="str">
        <f>IF(E99="","Bitte ausfüllen","OK")</f>
        <v>Bitte ausfüllen</v>
      </c>
      <c r="I99" s="173" t="s">
        <v>248</v>
      </c>
      <c r="J99" s="175" t="s">
        <v>201</v>
      </c>
      <c r="K99" s="175" t="s">
        <v>204</v>
      </c>
      <c r="L99" s="175" t="s">
        <v>202</v>
      </c>
      <c r="M99" s="175" t="s">
        <v>203</v>
      </c>
      <c r="N99" s="175" t="s">
        <v>200</v>
      </c>
    </row>
    <row r="100" spans="2:14" ht="30" x14ac:dyDescent="0.25">
      <c r="B100" s="198"/>
      <c r="C100" s="29"/>
      <c r="D100" s="129" t="s">
        <v>206</v>
      </c>
      <c r="E100" s="170"/>
      <c r="F100" s="30"/>
      <c r="G100" s="104" t="s">
        <v>41</v>
      </c>
      <c r="H100" s="31" t="str">
        <f>IF(E100="","Bitte ausfüllen",IF(AND(E99=Hintergrunddaten!J11,Antragsdaten!E100="Nein")=TRUE(),"Achtung bei Unternehmen: Nur KMUs sind förderbar!","OK"))</f>
        <v>Bitte ausfüllen</v>
      </c>
      <c r="I100" s="173" t="s">
        <v>248</v>
      </c>
      <c r="J100" s="175" t="s">
        <v>67</v>
      </c>
      <c r="K100" s="175" t="s">
        <v>68</v>
      </c>
    </row>
    <row r="101" spans="2:14" ht="18.75" customHeight="1" x14ac:dyDescent="0.25">
      <c r="B101" s="198"/>
      <c r="C101" s="29"/>
      <c r="D101" s="115" t="s">
        <v>205</v>
      </c>
      <c r="E101" s="30"/>
      <c r="F101" s="30"/>
      <c r="G101" s="104"/>
      <c r="H101" s="31"/>
    </row>
    <row r="102" spans="2:14" x14ac:dyDescent="0.25">
      <c r="B102" s="198"/>
      <c r="C102" s="29"/>
      <c r="D102" s="30" t="s">
        <v>9</v>
      </c>
      <c r="E102" s="113"/>
      <c r="F102" s="30"/>
      <c r="G102" s="104" t="s">
        <v>41</v>
      </c>
      <c r="H102" s="31" t="str">
        <f>IF(E102="","Bitte ausfüllen","OK")</f>
        <v>Bitte ausfüllen</v>
      </c>
    </row>
    <row r="103" spans="2:14" x14ac:dyDescent="0.25">
      <c r="B103" s="198"/>
      <c r="C103" s="29"/>
      <c r="D103" s="30" t="s">
        <v>10</v>
      </c>
      <c r="E103" s="113"/>
      <c r="F103" s="30"/>
      <c r="G103" s="104" t="s">
        <v>41</v>
      </c>
      <c r="H103" s="31" t="str">
        <f t="shared" ref="H103:H124" si="0">IF(E103="","Bitte ausfüllen","OK")</f>
        <v>Bitte ausfüllen</v>
      </c>
    </row>
    <row r="104" spans="2:14" x14ac:dyDescent="0.25">
      <c r="B104" s="198"/>
      <c r="C104" s="29"/>
      <c r="D104" s="30" t="s">
        <v>135</v>
      </c>
      <c r="E104" s="113"/>
      <c r="F104" s="30"/>
      <c r="G104" s="104" t="s">
        <v>41</v>
      </c>
      <c r="H104" s="31" t="str">
        <f t="shared" si="0"/>
        <v>Bitte ausfüllen</v>
      </c>
    </row>
    <row r="105" spans="2:14" x14ac:dyDescent="0.25">
      <c r="B105" s="198"/>
      <c r="C105" s="29"/>
      <c r="D105" s="30" t="s">
        <v>12</v>
      </c>
      <c r="E105" s="113"/>
      <c r="F105" s="30"/>
      <c r="G105" s="104" t="s">
        <v>41</v>
      </c>
      <c r="H105" s="31" t="str">
        <f t="shared" si="0"/>
        <v>Bitte ausfüllen</v>
      </c>
    </row>
    <row r="106" spans="2:14" x14ac:dyDescent="0.25">
      <c r="B106" s="198"/>
      <c r="C106" s="29"/>
      <c r="D106" s="30" t="s">
        <v>13</v>
      </c>
      <c r="E106" s="112"/>
      <c r="F106" s="30"/>
      <c r="G106" s="104" t="s">
        <v>41</v>
      </c>
      <c r="H106" s="31" t="str">
        <f t="shared" si="0"/>
        <v>Bitte ausfüllen</v>
      </c>
    </row>
    <row r="107" spans="2:14" x14ac:dyDescent="0.25">
      <c r="B107" s="198"/>
      <c r="C107" s="29"/>
      <c r="D107" s="30" t="s">
        <v>155</v>
      </c>
      <c r="E107" s="112"/>
      <c r="F107" s="30"/>
      <c r="G107" s="104" t="s">
        <v>41</v>
      </c>
      <c r="H107" s="31" t="str">
        <f t="shared" si="0"/>
        <v>Bitte ausfüllen</v>
      </c>
    </row>
    <row r="108" spans="2:14" x14ac:dyDescent="0.25">
      <c r="B108" s="198"/>
      <c r="C108" s="29"/>
      <c r="D108" s="30" t="s">
        <v>15</v>
      </c>
      <c r="E108" s="112"/>
      <c r="F108" s="30"/>
      <c r="G108" s="104" t="s">
        <v>41</v>
      </c>
      <c r="H108" s="31" t="str">
        <f t="shared" si="0"/>
        <v>Bitte ausfüllen</v>
      </c>
    </row>
    <row r="109" spans="2:14" x14ac:dyDescent="0.25">
      <c r="B109" s="198"/>
      <c r="C109" s="29"/>
      <c r="D109" s="30" t="s">
        <v>16</v>
      </c>
      <c r="E109" s="118"/>
      <c r="F109" s="30"/>
      <c r="G109" s="104" t="s">
        <v>41</v>
      </c>
      <c r="H109" s="31" t="str">
        <f t="shared" si="0"/>
        <v>Bitte ausfüllen</v>
      </c>
    </row>
    <row r="110" spans="2:14" x14ac:dyDescent="0.25">
      <c r="B110" s="198"/>
      <c r="C110" s="29"/>
      <c r="D110" s="30" t="s">
        <v>17</v>
      </c>
      <c r="E110" s="119"/>
      <c r="F110" s="30"/>
      <c r="G110" s="104" t="s">
        <v>41</v>
      </c>
      <c r="H110" s="31" t="str">
        <f t="shared" si="0"/>
        <v>Bitte ausfüllen</v>
      </c>
    </row>
    <row r="111" spans="2:14" x14ac:dyDescent="0.25">
      <c r="B111" s="198"/>
      <c r="C111" s="29"/>
      <c r="D111" s="30" t="s">
        <v>18</v>
      </c>
      <c r="E111" s="120"/>
      <c r="F111" s="30"/>
      <c r="G111" s="104" t="s">
        <v>41</v>
      </c>
      <c r="H111" s="31" t="str">
        <f t="shared" si="0"/>
        <v>Bitte ausfüllen</v>
      </c>
    </row>
    <row r="112" spans="2:14" x14ac:dyDescent="0.25">
      <c r="B112" s="198"/>
      <c r="C112" s="29"/>
      <c r="D112" s="30"/>
      <c r="E112" s="30"/>
      <c r="F112" s="30"/>
      <c r="G112" s="104"/>
      <c r="H112" s="31"/>
    </row>
    <row r="113" spans="1:8" ht="18.75" x14ac:dyDescent="0.3">
      <c r="B113" s="198"/>
      <c r="C113" s="116" t="s">
        <v>132</v>
      </c>
      <c r="D113" s="30"/>
      <c r="E113" s="30"/>
      <c r="F113" s="30"/>
      <c r="G113" s="104"/>
      <c r="H113" s="31"/>
    </row>
    <row r="114" spans="1:8" x14ac:dyDescent="0.25">
      <c r="B114" s="198"/>
      <c r="C114" s="29"/>
      <c r="D114" s="30" t="s">
        <v>19</v>
      </c>
      <c r="E114" s="113"/>
      <c r="F114" s="30"/>
      <c r="G114" s="104" t="s">
        <v>41</v>
      </c>
      <c r="H114" s="31" t="str">
        <f t="shared" si="0"/>
        <v>Bitte ausfüllen</v>
      </c>
    </row>
    <row r="115" spans="1:8" x14ac:dyDescent="0.25">
      <c r="B115" s="198"/>
      <c r="C115" s="29"/>
      <c r="D115" s="114" t="s">
        <v>184</v>
      </c>
      <c r="E115" s="30"/>
      <c r="F115" s="30"/>
      <c r="G115" s="104"/>
      <c r="H115" s="31"/>
    </row>
    <row r="116" spans="1:8" x14ac:dyDescent="0.25">
      <c r="B116" s="198"/>
      <c r="C116" s="29"/>
      <c r="D116" s="30" t="s">
        <v>133</v>
      </c>
      <c r="E116" s="113"/>
      <c r="F116" s="30"/>
      <c r="G116" s="104" t="s">
        <v>41</v>
      </c>
      <c r="H116" s="31" t="str">
        <f t="shared" si="0"/>
        <v>Bitte ausfüllen</v>
      </c>
    </row>
    <row r="117" spans="1:8" x14ac:dyDescent="0.25">
      <c r="B117" s="198"/>
      <c r="C117" s="29"/>
      <c r="D117" s="30" t="s">
        <v>134</v>
      </c>
      <c r="E117" s="113"/>
      <c r="F117" s="30"/>
      <c r="G117" s="104" t="s">
        <v>41</v>
      </c>
      <c r="H117" s="31" t="str">
        <f t="shared" si="0"/>
        <v>Bitte ausfüllen</v>
      </c>
    </row>
    <row r="118" spans="1:8" x14ac:dyDescent="0.25">
      <c r="B118" s="198"/>
      <c r="C118" s="29"/>
      <c r="D118" s="30"/>
      <c r="E118" s="30"/>
      <c r="F118" s="30"/>
      <c r="G118" s="104"/>
      <c r="H118" s="31"/>
    </row>
    <row r="119" spans="1:8" ht="18.75" x14ac:dyDescent="0.3">
      <c r="B119" s="198"/>
      <c r="C119" s="116" t="s">
        <v>143</v>
      </c>
      <c r="D119" s="30"/>
      <c r="E119" s="30"/>
      <c r="F119" s="30"/>
      <c r="G119" s="104"/>
      <c r="H119" s="31"/>
    </row>
    <row r="120" spans="1:8" x14ac:dyDescent="0.25">
      <c r="B120" s="198"/>
      <c r="C120" s="29"/>
      <c r="D120" s="30" t="s">
        <v>12</v>
      </c>
      <c r="E120" s="112"/>
      <c r="F120" s="30"/>
      <c r="G120" s="104" t="s">
        <v>41</v>
      </c>
      <c r="H120" s="31" t="str">
        <f t="shared" si="0"/>
        <v>Bitte ausfüllen</v>
      </c>
    </row>
    <row r="121" spans="1:8" x14ac:dyDescent="0.25">
      <c r="B121" s="198"/>
      <c r="C121" s="29"/>
      <c r="D121" s="30" t="s">
        <v>13</v>
      </c>
      <c r="E121" s="112"/>
      <c r="F121" s="30"/>
      <c r="G121" s="104" t="s">
        <v>41</v>
      </c>
      <c r="H121" s="31" t="str">
        <f t="shared" si="0"/>
        <v>Bitte ausfüllen</v>
      </c>
    </row>
    <row r="122" spans="1:8" x14ac:dyDescent="0.25">
      <c r="B122" s="198"/>
      <c r="C122" s="29"/>
      <c r="D122" s="30" t="s">
        <v>155</v>
      </c>
      <c r="E122" s="112"/>
      <c r="F122" s="30"/>
      <c r="G122" s="104" t="s">
        <v>41</v>
      </c>
      <c r="H122" s="31" t="str">
        <f>IF(E122="","Bitte ausfüllen",IF(E122&lt;&gt;84130,"Achtung! Nur Anlagen in Dingolfing sind förderbar","OK"))</f>
        <v>Bitte ausfüllen</v>
      </c>
    </row>
    <row r="123" spans="1:8" x14ac:dyDescent="0.25">
      <c r="B123" s="198"/>
      <c r="C123" s="29"/>
      <c r="D123" s="30" t="s">
        <v>136</v>
      </c>
      <c r="E123" s="112"/>
      <c r="F123" s="30"/>
      <c r="G123" s="104" t="s">
        <v>41</v>
      </c>
      <c r="H123" s="31" t="str">
        <f t="shared" si="0"/>
        <v>Bitte ausfüllen</v>
      </c>
    </row>
    <row r="124" spans="1:8" x14ac:dyDescent="0.25">
      <c r="B124" s="198"/>
      <c r="C124" s="29"/>
      <c r="D124" s="30" t="s">
        <v>142</v>
      </c>
      <c r="E124" s="112"/>
      <c r="F124" s="30"/>
      <c r="G124" s="104" t="s">
        <v>41</v>
      </c>
      <c r="H124" s="31" t="str">
        <f t="shared" si="0"/>
        <v>Bitte ausfüllen</v>
      </c>
    </row>
    <row r="125" spans="1:8" x14ac:dyDescent="0.25">
      <c r="B125" s="199"/>
      <c r="C125" s="32"/>
      <c r="D125" s="33"/>
      <c r="E125" s="33"/>
      <c r="F125" s="33"/>
      <c r="G125" s="33"/>
      <c r="H125" s="34"/>
    </row>
    <row r="126" spans="1:8" x14ac:dyDescent="0.25">
      <c r="C126" s="23"/>
      <c r="D126" s="23"/>
      <c r="E126" s="23"/>
      <c r="F126" s="23"/>
      <c r="G126" s="23"/>
      <c r="H126" s="23"/>
    </row>
    <row r="127" spans="1:8" ht="28.5" x14ac:dyDescent="0.45">
      <c r="A127" s="20" t="s">
        <v>242</v>
      </c>
      <c r="B127" s="20"/>
      <c r="C127" s="23"/>
      <c r="D127" s="23"/>
      <c r="E127" s="23"/>
      <c r="F127" s="23"/>
      <c r="G127" s="23"/>
      <c r="H127" s="23"/>
    </row>
    <row r="128" spans="1:8" x14ac:dyDescent="0.25">
      <c r="C128" s="23"/>
      <c r="D128" s="23"/>
      <c r="E128" s="23"/>
      <c r="F128" s="23"/>
      <c r="G128" s="23"/>
      <c r="H128" s="23"/>
    </row>
    <row r="129" spans="2:8" ht="18.75" customHeight="1" x14ac:dyDescent="0.3">
      <c r="B129" s="197">
        <v>5</v>
      </c>
      <c r="C129" s="101" t="s">
        <v>222</v>
      </c>
      <c r="D129" s="102"/>
      <c r="E129" s="102"/>
      <c r="F129" s="102"/>
      <c r="G129" s="102"/>
      <c r="H129" s="28"/>
    </row>
    <row r="130" spans="2:8" ht="15" customHeight="1" x14ac:dyDescent="0.25">
      <c r="B130" s="198"/>
      <c r="C130" s="29"/>
      <c r="D130" s="30" t="s">
        <v>151</v>
      </c>
      <c r="E130" s="113"/>
      <c r="F130" s="30"/>
      <c r="G130" s="104" t="s">
        <v>41</v>
      </c>
      <c r="H130" s="31" t="str">
        <f>IF(E130="","Bitte ausfüllen","OK")</f>
        <v>Bitte ausfüllen</v>
      </c>
    </row>
    <row r="131" spans="2:8" ht="15" customHeight="1" x14ac:dyDescent="0.25">
      <c r="B131" s="198"/>
      <c r="C131" s="29"/>
      <c r="D131" s="30" t="s">
        <v>12</v>
      </c>
      <c r="E131" s="113"/>
      <c r="F131" s="30"/>
      <c r="G131" s="104" t="s">
        <v>41</v>
      </c>
      <c r="H131" s="31" t="str">
        <f t="shared" ref="H131:H140" si="1">IF(E131="","Bitte ausfüllen","OK")</f>
        <v>Bitte ausfüllen</v>
      </c>
    </row>
    <row r="132" spans="2:8" ht="15" customHeight="1" x14ac:dyDescent="0.25">
      <c r="B132" s="198"/>
      <c r="C132" s="29"/>
      <c r="D132" s="30" t="s">
        <v>13</v>
      </c>
      <c r="E132" s="112"/>
      <c r="F132" s="30"/>
      <c r="G132" s="104" t="s">
        <v>41</v>
      </c>
      <c r="H132" s="31" t="str">
        <f t="shared" si="1"/>
        <v>Bitte ausfüllen</v>
      </c>
    </row>
    <row r="133" spans="2:8" ht="15" customHeight="1" x14ac:dyDescent="0.25">
      <c r="B133" s="198"/>
      <c r="C133" s="29"/>
      <c r="D133" s="30" t="s">
        <v>155</v>
      </c>
      <c r="E133" s="112"/>
      <c r="F133" s="30"/>
      <c r="G133" s="104" t="s">
        <v>41</v>
      </c>
      <c r="H133" s="31" t="str">
        <f t="shared" si="1"/>
        <v>Bitte ausfüllen</v>
      </c>
    </row>
    <row r="134" spans="2:8" ht="15" customHeight="1" x14ac:dyDescent="0.25">
      <c r="B134" s="198"/>
      <c r="C134" s="29"/>
      <c r="D134" s="30" t="s">
        <v>136</v>
      </c>
      <c r="E134" s="112"/>
      <c r="F134" s="30"/>
      <c r="G134" s="104" t="s">
        <v>41</v>
      </c>
      <c r="H134" s="31" t="str">
        <f t="shared" si="1"/>
        <v>Bitte ausfüllen</v>
      </c>
    </row>
    <row r="135" spans="2:8" ht="18.75" customHeight="1" x14ac:dyDescent="0.3">
      <c r="B135" s="198"/>
      <c r="C135" s="116" t="s">
        <v>157</v>
      </c>
      <c r="D135" s="47"/>
      <c r="E135" s="30"/>
      <c r="F135" s="30"/>
      <c r="G135" s="30"/>
      <c r="H135" s="31"/>
    </row>
    <row r="136" spans="2:8" ht="15" customHeight="1" x14ac:dyDescent="0.25">
      <c r="B136" s="198"/>
      <c r="C136" s="29"/>
      <c r="D136" s="30" t="s">
        <v>9</v>
      </c>
      <c r="E136" s="113"/>
      <c r="F136" s="30"/>
      <c r="G136" s="104" t="s">
        <v>41</v>
      </c>
      <c r="H136" s="31" t="str">
        <f>IF(E136="","Bitte ausfüllen","OK")</f>
        <v>Bitte ausfüllen</v>
      </c>
    </row>
    <row r="137" spans="2:8" ht="15" customHeight="1" x14ac:dyDescent="0.25">
      <c r="B137" s="198"/>
      <c r="C137" s="29"/>
      <c r="D137" s="30" t="s">
        <v>153</v>
      </c>
      <c r="E137" s="113"/>
      <c r="F137" s="30"/>
      <c r="G137" s="104" t="s">
        <v>41</v>
      </c>
      <c r="H137" s="31" t="str">
        <f>IF(E137="","Bitte ausfüllen","OK")</f>
        <v>Bitte ausfüllen</v>
      </c>
    </row>
    <row r="138" spans="2:8" ht="15" customHeight="1" x14ac:dyDescent="0.25">
      <c r="B138" s="198"/>
      <c r="C138" s="29"/>
      <c r="D138" s="30" t="s">
        <v>154</v>
      </c>
      <c r="E138" s="113"/>
      <c r="F138" s="30"/>
      <c r="G138" s="104" t="s">
        <v>41</v>
      </c>
      <c r="H138" s="31" t="str">
        <f>IF(E138="","Bitte ausfüllen","OK")</f>
        <v>Bitte ausfüllen</v>
      </c>
    </row>
    <row r="139" spans="2:8" ht="15" customHeight="1" x14ac:dyDescent="0.25">
      <c r="B139" s="198"/>
      <c r="C139" s="29"/>
      <c r="D139" s="30" t="s">
        <v>17</v>
      </c>
      <c r="E139" s="119"/>
      <c r="F139" s="30"/>
      <c r="G139" s="104" t="s">
        <v>41</v>
      </c>
      <c r="H139" s="31" t="str">
        <f t="shared" si="1"/>
        <v>Bitte ausfüllen</v>
      </c>
    </row>
    <row r="140" spans="2:8" ht="15" customHeight="1" x14ac:dyDescent="0.25">
      <c r="B140" s="198"/>
      <c r="C140" s="29"/>
      <c r="D140" s="30" t="s">
        <v>18</v>
      </c>
      <c r="E140" s="120"/>
      <c r="F140" s="30"/>
      <c r="G140" s="104" t="s">
        <v>41</v>
      </c>
      <c r="H140" s="31" t="str">
        <f t="shared" si="1"/>
        <v>Bitte ausfüllen</v>
      </c>
    </row>
    <row r="141" spans="2:8" ht="15" customHeight="1" x14ac:dyDescent="0.25">
      <c r="B141" s="198"/>
      <c r="C141" s="29"/>
      <c r="D141" s="30"/>
      <c r="E141" s="30"/>
      <c r="F141" s="30"/>
      <c r="G141" s="30"/>
      <c r="H141" s="31"/>
    </row>
    <row r="142" spans="2:8" ht="15" customHeight="1" x14ac:dyDescent="0.25">
      <c r="B142" s="198"/>
      <c r="C142" s="117" t="s">
        <v>168</v>
      </c>
      <c r="D142" s="30"/>
      <c r="E142" s="30"/>
      <c r="F142" s="30"/>
      <c r="G142" s="30"/>
      <c r="H142" s="31"/>
    </row>
    <row r="143" spans="2:8" ht="15" customHeight="1" x14ac:dyDescent="0.25">
      <c r="B143" s="198"/>
      <c r="C143" s="29" t="s">
        <v>224</v>
      </c>
      <c r="D143" s="30"/>
      <c r="E143" s="30"/>
      <c r="F143" s="30"/>
      <c r="G143" s="30"/>
      <c r="H143" s="31"/>
    </row>
    <row r="144" spans="2:8" ht="15" customHeight="1" x14ac:dyDescent="0.25">
      <c r="B144" s="198"/>
      <c r="C144" s="29" t="s">
        <v>223</v>
      </c>
      <c r="D144" s="30"/>
      <c r="E144" s="30"/>
      <c r="F144" s="30"/>
      <c r="G144" s="30"/>
      <c r="H144" s="31"/>
    </row>
    <row r="145" spans="2:8" ht="15" customHeight="1" x14ac:dyDescent="0.25">
      <c r="B145" s="199"/>
      <c r="C145" s="32"/>
      <c r="D145" s="33"/>
      <c r="E145" s="33"/>
      <c r="F145" s="33"/>
      <c r="G145" s="33"/>
      <c r="H145" s="34"/>
    </row>
    <row r="146" spans="2:8" ht="15" customHeight="1" x14ac:dyDescent="0.25">
      <c r="B146" s="23"/>
      <c r="C146" s="23"/>
      <c r="D146" s="23"/>
      <c r="E146" s="23"/>
      <c r="F146" s="23"/>
      <c r="G146" s="23"/>
      <c r="H146" s="23"/>
    </row>
    <row r="147" spans="2:8" ht="15" customHeight="1" x14ac:dyDescent="0.25">
      <c r="B147" s="23"/>
      <c r="C147" s="23"/>
      <c r="D147" s="23"/>
      <c r="E147" s="23"/>
      <c r="F147" s="23"/>
      <c r="G147" s="23"/>
      <c r="H147" s="23"/>
    </row>
    <row r="148" spans="2:8" ht="15" customHeight="1" x14ac:dyDescent="0.25"/>
    <row r="149" spans="2:8" ht="15" customHeight="1" x14ac:dyDescent="0.25"/>
    <row r="150" spans="2:8" ht="15" customHeight="1" x14ac:dyDescent="0.25"/>
    <row r="151" spans="2:8" ht="15" customHeight="1" x14ac:dyDescent="0.25"/>
    <row r="152" spans="2:8" ht="15" customHeight="1" x14ac:dyDescent="0.25"/>
    <row r="153" spans="2:8" ht="15" customHeight="1" x14ac:dyDescent="0.25"/>
    <row r="154" spans="2:8" ht="15" customHeight="1" x14ac:dyDescent="0.25"/>
    <row r="155" spans="2:8" ht="15" customHeight="1" x14ac:dyDescent="0.25"/>
    <row r="156" spans="2:8" ht="15" customHeight="1" x14ac:dyDescent="0.25"/>
  </sheetData>
  <sheetProtection algorithmName="SHA-512" hashValue="uEhIXnM/jAvIJkd/AQwumFP2XYDdmBic7Gc5XtBxDpbiczFACdetD1+jG4avX+LzVh7Yo5bsu5tiuzUcfhgCBA==" saltValue="KNifQ05P2KsN/rAAmmhwRg==" spinCount="100000" sheet="1" selectLockedCells="1"/>
  <mergeCells count="6">
    <mergeCell ref="J4:L4"/>
    <mergeCell ref="B98:B125"/>
    <mergeCell ref="B129:B145"/>
    <mergeCell ref="F6:H6"/>
    <mergeCell ref="B8:B13"/>
    <mergeCell ref="B15:B94"/>
  </mergeCells>
  <conditionalFormatting sqref="D15:E15">
    <cfRule type="containsText" dxfId="72" priority="200" operator="containsText" text="Aktiv">
      <formula>NOT(ISERROR(SEARCH("Aktiv",D15)))</formula>
    </cfRule>
  </conditionalFormatting>
  <conditionalFormatting sqref="H102:H111 H10">
    <cfRule type="cellIs" dxfId="71" priority="72" operator="notEqual">
      <formula>"OK"</formula>
    </cfRule>
    <cfRule type="containsText" dxfId="70" priority="73" operator="containsText" text="OK">
      <formula>NOT(ISERROR(SEARCH("OK",H10)))</formula>
    </cfRule>
  </conditionalFormatting>
  <conditionalFormatting sqref="E21">
    <cfRule type="containsText" dxfId="69" priority="71" operator="containsText" text="Aktiv">
      <formula>NOT(ISERROR(SEARCH("Aktiv",E21)))</formula>
    </cfRule>
  </conditionalFormatting>
  <conditionalFormatting sqref="E33">
    <cfRule type="containsText" dxfId="68" priority="70" operator="containsText" text="Aktiv">
      <formula>NOT(ISERROR(SEARCH("Aktiv",E33)))</formula>
    </cfRule>
  </conditionalFormatting>
  <conditionalFormatting sqref="E43">
    <cfRule type="containsText" dxfId="67" priority="69" operator="containsText" text="Aktiv">
      <formula>NOT(ISERROR(SEARCH("Aktiv",E43)))</formula>
    </cfRule>
  </conditionalFormatting>
  <conditionalFormatting sqref="E74">
    <cfRule type="containsText" dxfId="66" priority="68" operator="containsText" text="Aktiv">
      <formula>NOT(ISERROR(SEARCH("Aktiv",E74)))</formula>
    </cfRule>
  </conditionalFormatting>
  <conditionalFormatting sqref="E82">
    <cfRule type="containsText" dxfId="65" priority="67" operator="containsText" text="Aktiv">
      <formula>NOT(ISERROR(SEARCH("Aktiv",E82)))</formula>
    </cfRule>
  </conditionalFormatting>
  <conditionalFormatting sqref="E89">
    <cfRule type="containsText" dxfId="64" priority="66" operator="containsText" text="Aktiv">
      <formula>NOT(ISERROR(SEARCH("Aktiv",E89)))</formula>
    </cfRule>
  </conditionalFormatting>
  <conditionalFormatting sqref="H15:H17">
    <cfRule type="cellIs" dxfId="63" priority="64" operator="notEqual">
      <formula>"OK"</formula>
    </cfRule>
    <cfRule type="containsText" dxfId="62" priority="65" operator="containsText" text="OK">
      <formula>NOT(ISERROR(SEARCH("OK",H15)))</formula>
    </cfRule>
  </conditionalFormatting>
  <conditionalFormatting sqref="H21">
    <cfRule type="cellIs" dxfId="61" priority="62" operator="notEqual">
      <formula>"OK"</formula>
    </cfRule>
    <cfRule type="containsText" dxfId="60" priority="63" operator="containsText" text="OK">
      <formula>NOT(ISERROR(SEARCH("OK",H21)))</formula>
    </cfRule>
  </conditionalFormatting>
  <conditionalFormatting sqref="H33">
    <cfRule type="cellIs" dxfId="59" priority="60" operator="notEqual">
      <formula>"OK"</formula>
    </cfRule>
    <cfRule type="containsText" dxfId="58" priority="61" operator="containsText" text="OK">
      <formula>NOT(ISERROR(SEARCH("OK",H33)))</formula>
    </cfRule>
  </conditionalFormatting>
  <conditionalFormatting sqref="H26:H28">
    <cfRule type="cellIs" dxfId="57" priority="58" operator="notEqual">
      <formula>"OK"</formula>
    </cfRule>
    <cfRule type="containsText" dxfId="56" priority="59" operator="containsText" text="OK">
      <formula>NOT(ISERROR(SEARCH("OK",H26)))</formula>
    </cfRule>
  </conditionalFormatting>
  <conditionalFormatting sqref="H36:H37">
    <cfRule type="cellIs" dxfId="55" priority="56" operator="notEqual">
      <formula>"OK"</formula>
    </cfRule>
    <cfRule type="containsText" dxfId="54" priority="57" operator="containsText" text="OK">
      <formula>NOT(ISERROR(SEARCH("OK",H36)))</formula>
    </cfRule>
  </conditionalFormatting>
  <conditionalFormatting sqref="H43">
    <cfRule type="cellIs" dxfId="53" priority="54" operator="notEqual">
      <formula>"OK"</formula>
    </cfRule>
    <cfRule type="containsText" dxfId="52" priority="55" operator="containsText" text="OK">
      <formula>NOT(ISERROR(SEARCH("OK",H43)))</formula>
    </cfRule>
  </conditionalFormatting>
  <conditionalFormatting sqref="H45">
    <cfRule type="cellIs" dxfId="51" priority="52" operator="notEqual">
      <formula>"OK"</formula>
    </cfRule>
    <cfRule type="containsText" dxfId="50" priority="53" operator="containsText" text="OK">
      <formula>NOT(ISERROR(SEARCH("OK",H45)))</formula>
    </cfRule>
  </conditionalFormatting>
  <conditionalFormatting sqref="H50:H51">
    <cfRule type="cellIs" dxfId="49" priority="50" operator="notEqual">
      <formula>"OK"</formula>
    </cfRule>
    <cfRule type="containsText" dxfId="48" priority="51" operator="containsText" text="OK">
      <formula>NOT(ISERROR(SEARCH("OK",H50)))</formula>
    </cfRule>
  </conditionalFormatting>
  <conditionalFormatting sqref="H58:H59">
    <cfRule type="cellIs" dxfId="47" priority="48" operator="notEqual">
      <formula>"OK"</formula>
    </cfRule>
    <cfRule type="containsText" dxfId="46" priority="49" operator="containsText" text="OK">
      <formula>NOT(ISERROR(SEARCH("OK",H58)))</formula>
    </cfRule>
  </conditionalFormatting>
  <conditionalFormatting sqref="H66:H67">
    <cfRule type="cellIs" dxfId="45" priority="46" operator="notEqual">
      <formula>"OK"</formula>
    </cfRule>
    <cfRule type="containsText" dxfId="44" priority="47" operator="containsText" text="OK">
      <formula>NOT(ISERROR(SEARCH("OK",H66)))</formula>
    </cfRule>
  </conditionalFormatting>
  <conditionalFormatting sqref="H74:H75">
    <cfRule type="cellIs" dxfId="43" priority="44" operator="notEqual">
      <formula>"OK"</formula>
    </cfRule>
    <cfRule type="containsText" dxfId="42" priority="45" operator="containsText" text="OK">
      <formula>NOT(ISERROR(SEARCH("OK",H74)))</formula>
    </cfRule>
  </conditionalFormatting>
  <conditionalFormatting sqref="H77">
    <cfRule type="cellIs" dxfId="41" priority="42" operator="notEqual">
      <formula>"OK"</formula>
    </cfRule>
    <cfRule type="containsText" dxfId="40" priority="43" operator="containsText" text="OK">
      <formula>NOT(ISERROR(SEARCH("OK",H77)))</formula>
    </cfRule>
  </conditionalFormatting>
  <conditionalFormatting sqref="H82">
    <cfRule type="cellIs" dxfId="39" priority="40" operator="notEqual">
      <formula>"OK"</formula>
    </cfRule>
    <cfRule type="containsText" dxfId="38" priority="41" operator="containsText" text="OK">
      <formula>NOT(ISERROR(SEARCH("OK",H82)))</formula>
    </cfRule>
  </conditionalFormatting>
  <conditionalFormatting sqref="H84">
    <cfRule type="cellIs" dxfId="37" priority="38" operator="notEqual">
      <formula>"OK"</formula>
    </cfRule>
    <cfRule type="containsText" dxfId="36" priority="39" operator="containsText" text="OK">
      <formula>NOT(ISERROR(SEARCH("OK",H84)))</formula>
    </cfRule>
  </conditionalFormatting>
  <conditionalFormatting sqref="H89">
    <cfRule type="cellIs" dxfId="35" priority="36" operator="notEqual">
      <formula>"OK"</formula>
    </cfRule>
    <cfRule type="containsText" dxfId="34" priority="37" operator="containsText" text="OK">
      <formula>NOT(ISERROR(SEARCH("OK",H89)))</formula>
    </cfRule>
  </conditionalFormatting>
  <conditionalFormatting sqref="H91">
    <cfRule type="cellIs" dxfId="33" priority="34" operator="notEqual">
      <formula>"OK"</formula>
    </cfRule>
    <cfRule type="containsText" dxfId="32" priority="35" operator="containsText" text="OK">
      <formula>NOT(ISERROR(SEARCH("OK",H91)))</formula>
    </cfRule>
  </conditionalFormatting>
  <conditionalFormatting sqref="H114">
    <cfRule type="cellIs" dxfId="31" priority="30" operator="notEqual">
      <formula>"OK"</formula>
    </cfRule>
    <cfRule type="containsText" dxfId="30" priority="31" operator="containsText" text="OK">
      <formula>NOT(ISERROR(SEARCH("OK",H114)))</formula>
    </cfRule>
  </conditionalFormatting>
  <conditionalFormatting sqref="H116:H117">
    <cfRule type="cellIs" dxfId="29" priority="28" operator="notEqual">
      <formula>"OK"</formula>
    </cfRule>
    <cfRule type="containsText" dxfId="28" priority="29" operator="containsText" text="OK">
      <formula>NOT(ISERROR(SEARCH("OK",H116)))</formula>
    </cfRule>
  </conditionalFormatting>
  <conditionalFormatting sqref="H120:H124">
    <cfRule type="cellIs" dxfId="27" priority="26" operator="notEqual">
      <formula>"OK"</formula>
    </cfRule>
    <cfRule type="containsText" dxfId="26" priority="27" operator="containsText" text="OK">
      <formula>NOT(ISERROR(SEARCH("OK",H120)))</formula>
    </cfRule>
  </conditionalFormatting>
  <conditionalFormatting sqref="H131:H134">
    <cfRule type="cellIs" dxfId="25" priority="24" operator="notEqual">
      <formula>"OK"</formula>
    </cfRule>
    <cfRule type="containsText" dxfId="24" priority="25" operator="containsText" text="OK">
      <formula>NOT(ISERROR(SEARCH("OK",H131)))</formula>
    </cfRule>
  </conditionalFormatting>
  <conditionalFormatting sqref="H130">
    <cfRule type="cellIs" dxfId="23" priority="22" operator="notEqual">
      <formula>"OK"</formula>
    </cfRule>
    <cfRule type="containsText" dxfId="22" priority="23" operator="containsText" text="OK">
      <formula>NOT(ISERROR(SEARCH("OK",H130)))</formula>
    </cfRule>
  </conditionalFormatting>
  <conditionalFormatting sqref="H136:H140">
    <cfRule type="cellIs" dxfId="21" priority="20" operator="notEqual">
      <formula>"OK"</formula>
    </cfRule>
    <cfRule type="containsText" dxfId="20" priority="21" operator="containsText" text="OK">
      <formula>NOT(ISERROR(SEARCH("OK",H136)))</formula>
    </cfRule>
  </conditionalFormatting>
  <conditionalFormatting sqref="H9">
    <cfRule type="cellIs" dxfId="19" priority="16" operator="notEqual">
      <formula>"OK"</formula>
    </cfRule>
    <cfRule type="containsText" dxfId="18" priority="17" operator="containsText" text="OK">
      <formula>NOT(ISERROR(SEARCH("OK",H9)))</formula>
    </cfRule>
  </conditionalFormatting>
  <conditionalFormatting sqref="H99">
    <cfRule type="cellIs" dxfId="17" priority="14" operator="notEqual">
      <formula>"OK"</formula>
    </cfRule>
    <cfRule type="containsText" dxfId="16" priority="15" operator="containsText" text="OK">
      <formula>NOT(ISERROR(SEARCH("OK",H99)))</formula>
    </cfRule>
  </conditionalFormatting>
  <conditionalFormatting sqref="H100">
    <cfRule type="cellIs" dxfId="15" priority="12" operator="notEqual">
      <formula>"OK"</formula>
    </cfRule>
    <cfRule type="containsText" dxfId="14" priority="13" operator="containsText" text="OK">
      <formula>NOT(ISERROR(SEARCH("OK",H100)))</formula>
    </cfRule>
  </conditionalFormatting>
  <conditionalFormatting sqref="H11">
    <cfRule type="cellIs" dxfId="13" priority="10" operator="notEqual">
      <formula>"OK"</formula>
    </cfRule>
    <cfRule type="containsText" dxfId="12" priority="11" operator="containsText" text="OK">
      <formula>NOT(ISERROR(SEARCH("OK",H11)))</formula>
    </cfRule>
  </conditionalFormatting>
  <conditionalFormatting sqref="G29">
    <cfRule type="cellIs" dxfId="11" priority="4" operator="notEqual">
      <formula>"OK"</formula>
    </cfRule>
    <cfRule type="containsText" dxfId="10" priority="5" operator="containsText" text="OK">
      <formula>NOT(ISERROR(SEARCH("OK",G29)))</formula>
    </cfRule>
  </conditionalFormatting>
  <conditionalFormatting sqref="D8:E8">
    <cfRule type="containsText" dxfId="9" priority="3" operator="containsText" text="Aktiv">
      <formula>NOT(ISERROR(SEARCH("Aktiv",D8)))</formula>
    </cfRule>
  </conditionalFormatting>
  <conditionalFormatting sqref="H8">
    <cfRule type="cellIs" dxfId="8" priority="1" operator="notEqual">
      <formula>"OK"</formula>
    </cfRule>
    <cfRule type="containsText" dxfId="7" priority="2" operator="containsText" text="OK">
      <formula>NOT(ISERROR(SEARCH("OK",H8)))</formula>
    </cfRule>
  </conditionalFormatting>
  <dataValidations count="1">
    <dataValidation errorStyle="information" allowBlank="1" showInputMessage="1" showErrorMessage="1" errorTitle="1 bis max. 8 Pumpen förderbar" sqref="E84"/>
  </dataValidations>
  <pageMargins left="0.7" right="0.7" top="0.78740157499999996" bottom="0.78740157499999996" header="0.3" footer="0.3"/>
  <pageSetup paperSize="9" orientation="portrait" r:id="rId1"/>
  <ignoredErrors>
    <ignoredError sqref="H122" 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Hintergrunddaten!$B$13:$B$15</xm:f>
          </x14:formula1>
          <xm:sqref>E16</xm:sqref>
        </x14:dataValidation>
        <x14:dataValidation type="list" allowBlank="1" showInputMessage="1" showErrorMessage="1">
          <x14:formula1>
            <xm:f>Hintergrunddaten!$I$4:$I$5</xm:f>
          </x14:formula1>
          <xm:sqref>E51 E59 E67 E100:E101</xm:sqref>
        </x14:dataValidation>
        <x14:dataValidation type="list" allowBlank="1" showInputMessage="1" showErrorMessage="1">
          <x14:formula1>
            <xm:f>Hintergrunddaten!$E$13:$E$14</xm:f>
          </x14:formula1>
          <xm:sqref>E75</xm:sqref>
        </x14:dataValidation>
        <x14:dataValidation type="list" allowBlank="1" showInputMessage="1" showErrorMessage="1">
          <x14:formula1>
            <xm:f>Hintergrunddaten!$B$4:$B$11</xm:f>
          </x14:formula1>
          <xm:sqref>E6</xm:sqref>
        </x14:dataValidation>
        <x14:dataValidation type="list" allowBlank="1" showInputMessage="1" showErrorMessage="1">
          <x14:formula1>
            <xm:f>Hintergrunddaten!$I$7:$I$8</xm:f>
          </x14:formula1>
          <xm:sqref>E45</xm:sqref>
        </x14:dataValidation>
        <x14:dataValidation type="list" allowBlank="1" showInputMessage="1" showErrorMessage="1">
          <x14:formula1>
            <xm:f>Hintergrunddaten!$I$12:$I$13</xm:f>
          </x14:formula1>
          <xm:sqref>E10</xm:sqref>
        </x14:dataValidation>
        <x14:dataValidation type="list" allowBlank="1" showInputMessage="1" showErrorMessage="1">
          <x14:formula1>
            <xm:f>Hintergrunddaten!$J$4:$J$5</xm:f>
          </x14:formula1>
          <xm:sqref>E9</xm:sqref>
        </x14:dataValidation>
        <x14:dataValidation type="list" allowBlank="1" showInputMessage="1" showErrorMessage="1">
          <x14:formula1>
            <xm:f>Hintergrunddaten!$J$7:$J$11</xm:f>
          </x14:formula1>
          <xm:sqref>E99</xm:sqref>
        </x14:dataValidation>
        <x14:dataValidation type="list" allowBlank="1" showInputMessage="1" showErrorMessage="1">
          <x14:formula1>
            <xm:f>OFFSET(Hintergrunddaten!E3:G3,1,MATCH(E16,Hintergrunddaten!E3:G3,0)-1,COUNTA(INDEX(Hintergrunddaten!E3:G10,,MATCH(E16,Hintergrunddaten!E3:G3,0)))-1,1)</xm:f>
          </x14:formula1>
          <xm:sqref>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113"/>
  <sheetViews>
    <sheetView topLeftCell="G1" workbookViewId="0">
      <selection activeCell="J7" sqref="J7:J11"/>
    </sheetView>
  </sheetViews>
  <sheetFormatPr baseColWidth="10" defaultRowHeight="15" x14ac:dyDescent="0.25"/>
  <cols>
    <col min="2" max="2" width="58.42578125" bestFit="1" customWidth="1"/>
    <col min="3" max="3" width="33.28515625" bestFit="1" customWidth="1"/>
    <col min="4" max="4" width="39.140625" bestFit="1" customWidth="1"/>
    <col min="5" max="5" width="40.42578125" customWidth="1"/>
    <col min="6" max="6" width="58.42578125" bestFit="1" customWidth="1"/>
    <col min="7" max="7" width="53.42578125" bestFit="1" customWidth="1"/>
    <col min="8" max="8" width="28.85546875" customWidth="1"/>
    <col min="9" max="9" width="36" bestFit="1" customWidth="1"/>
    <col min="10" max="10" width="89.85546875" bestFit="1" customWidth="1"/>
    <col min="11" max="11" width="124.7109375" bestFit="1" customWidth="1"/>
    <col min="12" max="12" width="72" bestFit="1" customWidth="1"/>
    <col min="13" max="13" width="11.42578125" bestFit="1" customWidth="1"/>
    <col min="14" max="14" width="17.5703125" customWidth="1"/>
    <col min="15" max="15" width="39.28515625" bestFit="1" customWidth="1"/>
    <col min="16" max="16" width="12.7109375" bestFit="1" customWidth="1"/>
  </cols>
  <sheetData>
    <row r="1" spans="1:10" ht="23.25" x14ac:dyDescent="0.35">
      <c r="A1" s="58" t="s">
        <v>130</v>
      </c>
    </row>
    <row r="3" spans="1:10" x14ac:dyDescent="0.25">
      <c r="B3" s="17" t="s">
        <v>28</v>
      </c>
      <c r="E3" s="17" t="s">
        <v>191</v>
      </c>
      <c r="F3" s="17" t="s">
        <v>192</v>
      </c>
      <c r="G3" s="17" t="s">
        <v>166</v>
      </c>
      <c r="I3" s="17" t="s">
        <v>66</v>
      </c>
      <c r="J3" s="17" t="s">
        <v>195</v>
      </c>
    </row>
    <row r="4" spans="1:10" x14ac:dyDescent="0.25">
      <c r="B4" s="71" t="s">
        <v>150</v>
      </c>
      <c r="E4" s="18" t="str">
        <f t="shared" ref="E4:E10" si="0">B19</f>
        <v>Öl Brennwert</v>
      </c>
      <c r="F4" s="18" t="str">
        <f>B21</f>
        <v>BHKW</v>
      </c>
      <c r="G4" s="18" t="str">
        <f>B26</f>
        <v>Neue Wärmepumpe</v>
      </c>
      <c r="I4" s="18" t="s">
        <v>67</v>
      </c>
      <c r="J4" s="18" t="s">
        <v>196</v>
      </c>
    </row>
    <row r="5" spans="1:10" x14ac:dyDescent="0.25">
      <c r="B5" s="18" t="str">
        <f>B18</f>
        <v>Austauschprämie Zentralheizung</v>
      </c>
      <c r="E5" s="18" t="str">
        <f t="shared" si="0"/>
        <v>Gas Brennwert</v>
      </c>
      <c r="F5" s="18" t="str">
        <f>B22</f>
        <v>Wärmepumpe</v>
      </c>
      <c r="G5" s="18"/>
      <c r="I5" s="19" t="s">
        <v>68</v>
      </c>
      <c r="J5" s="19" t="s">
        <v>197</v>
      </c>
    </row>
    <row r="6" spans="1:10" x14ac:dyDescent="0.25">
      <c r="B6" s="18" t="str">
        <f>B27</f>
        <v>Thermische Solaranlage</v>
      </c>
      <c r="E6" s="18" t="str">
        <f t="shared" si="0"/>
        <v>BHKW</v>
      </c>
      <c r="F6" s="18" t="str">
        <f>B23</f>
        <v>Biomasse</v>
      </c>
      <c r="G6" s="18"/>
      <c r="I6" s="17" t="s">
        <v>169</v>
      </c>
      <c r="J6" s="17" t="s">
        <v>199</v>
      </c>
    </row>
    <row r="7" spans="1:10" x14ac:dyDescent="0.25">
      <c r="B7" s="18" t="str">
        <f>B29</f>
        <v>PV-Speicher-Systeme</v>
      </c>
      <c r="E7" s="18" t="str">
        <f t="shared" si="0"/>
        <v>Wärmepumpe</v>
      </c>
      <c r="F7" s="18" t="str">
        <f>B24</f>
        <v>Brennstoffzellenheizung</v>
      </c>
      <c r="G7" s="18"/>
      <c r="I7" s="29" t="s">
        <v>170</v>
      </c>
      <c r="J7" s="71" t="s">
        <v>201</v>
      </c>
    </row>
    <row r="8" spans="1:10" x14ac:dyDescent="0.25">
      <c r="B8" s="18" t="str">
        <f>B31</f>
        <v>Dämmmaßnahmen an Bestandsgebäuden</v>
      </c>
      <c r="E8" s="18" t="str">
        <f t="shared" si="0"/>
        <v>Biomasse</v>
      </c>
      <c r="F8" s="18" t="str">
        <f>B25</f>
        <v>Anschluss Nah- / Fernwärmenetz</v>
      </c>
      <c r="G8" s="18"/>
      <c r="I8" s="32" t="s">
        <v>171</v>
      </c>
      <c r="J8" s="18" t="s">
        <v>204</v>
      </c>
    </row>
    <row r="9" spans="1:10" x14ac:dyDescent="0.25">
      <c r="B9" s="18" t="str">
        <f>B38</f>
        <v>Lüftungsanlage</v>
      </c>
      <c r="E9" s="18" t="str">
        <f t="shared" si="0"/>
        <v>Brennstoffzellenheizung</v>
      </c>
      <c r="F9" s="18"/>
      <c r="G9" s="18"/>
      <c r="I9" s="37" t="s">
        <v>94</v>
      </c>
      <c r="J9" s="18" t="s">
        <v>202</v>
      </c>
    </row>
    <row r="10" spans="1:10" x14ac:dyDescent="0.25">
      <c r="B10" s="18" t="str">
        <f>B41</f>
        <v>Heizungspumpentausch</v>
      </c>
      <c r="E10" s="19" t="str">
        <f t="shared" si="0"/>
        <v>Anschluss Nah- / Fernwärmenetz</v>
      </c>
      <c r="F10" s="19"/>
      <c r="G10" s="19"/>
      <c r="I10" s="32" t="s">
        <v>95</v>
      </c>
      <c r="J10" s="18" t="s">
        <v>203</v>
      </c>
    </row>
    <row r="11" spans="1:10" x14ac:dyDescent="0.25">
      <c r="B11" s="19" t="str">
        <f>B43</f>
        <v>Begrünung und Flächenentsiegelung</v>
      </c>
      <c r="I11" s="37" t="s">
        <v>183</v>
      </c>
      <c r="J11" s="19" t="s">
        <v>200</v>
      </c>
    </row>
    <row r="12" spans="1:10" x14ac:dyDescent="0.25">
      <c r="B12" s="17" t="s">
        <v>127</v>
      </c>
      <c r="E12" s="17" t="s">
        <v>80</v>
      </c>
      <c r="G12" s="25" t="s">
        <v>93</v>
      </c>
      <c r="I12" s="71" t="s">
        <v>67</v>
      </c>
    </row>
    <row r="13" spans="1:10" x14ac:dyDescent="0.25">
      <c r="B13" s="18" t="s">
        <v>191</v>
      </c>
      <c r="E13" s="18" t="str">
        <f>B39</f>
        <v>Zentrale Lüftungsanlage</v>
      </c>
      <c r="G13" s="18" t="s">
        <v>92</v>
      </c>
      <c r="I13" s="19" t="s">
        <v>68</v>
      </c>
    </row>
    <row r="14" spans="1:10" x14ac:dyDescent="0.25">
      <c r="B14" s="18" t="s">
        <v>192</v>
      </c>
      <c r="E14" s="19" t="str">
        <f>B40</f>
        <v>Dezentrale Lüftungsanlage</v>
      </c>
      <c r="G14" s="22">
        <v>75</v>
      </c>
    </row>
    <row r="15" spans="1:10" x14ac:dyDescent="0.25">
      <c r="B15" s="19" t="s">
        <v>166</v>
      </c>
    </row>
    <row r="17" spans="1:9" x14ac:dyDescent="0.25">
      <c r="A17" s="37" t="s">
        <v>88</v>
      </c>
      <c r="B17" s="38" t="s">
        <v>38</v>
      </c>
      <c r="C17" s="36"/>
      <c r="D17" s="36"/>
      <c r="E17" s="38" t="s">
        <v>49</v>
      </c>
      <c r="F17" s="38" t="s">
        <v>73</v>
      </c>
      <c r="G17" s="38" t="s">
        <v>50</v>
      </c>
      <c r="H17" s="38" t="s">
        <v>72</v>
      </c>
      <c r="I17" s="39" t="s">
        <v>58</v>
      </c>
    </row>
    <row r="18" spans="1:9" x14ac:dyDescent="0.25">
      <c r="A18" s="29" t="str">
        <f>Antragsdaten!E15</f>
        <v>-</v>
      </c>
      <c r="B18" s="59" t="s">
        <v>29</v>
      </c>
      <c r="C18" s="60"/>
      <c r="D18" s="30"/>
      <c r="E18" s="30"/>
      <c r="F18" s="30"/>
      <c r="G18" s="30"/>
      <c r="H18" s="30"/>
      <c r="I18" s="31"/>
    </row>
    <row r="19" spans="1:9" x14ac:dyDescent="0.25">
      <c r="A19" s="29"/>
      <c r="B19" s="61" t="s">
        <v>35</v>
      </c>
      <c r="C19" s="60">
        <v>500</v>
      </c>
      <c r="D19" s="30"/>
      <c r="E19" s="30"/>
      <c r="F19" s="30"/>
      <c r="G19" s="30"/>
      <c r="H19" s="30"/>
      <c r="I19" s="31"/>
    </row>
    <row r="20" spans="1:9" x14ac:dyDescent="0.25">
      <c r="A20" s="29"/>
      <c r="B20" s="61" t="s">
        <v>36</v>
      </c>
      <c r="C20" s="60">
        <v>800</v>
      </c>
      <c r="D20" s="30"/>
      <c r="E20" s="30"/>
      <c r="F20" s="30"/>
      <c r="G20" s="30"/>
      <c r="H20" s="30"/>
      <c r="I20" s="31"/>
    </row>
    <row r="21" spans="1:9" x14ac:dyDescent="0.25">
      <c r="A21" s="29"/>
      <c r="B21" s="60" t="s">
        <v>39</v>
      </c>
      <c r="C21" s="60">
        <v>2000</v>
      </c>
      <c r="D21" s="30"/>
      <c r="E21" s="30"/>
      <c r="F21" s="30"/>
      <c r="G21" s="30"/>
      <c r="H21" s="30"/>
      <c r="I21" s="31"/>
    </row>
    <row r="22" spans="1:9" x14ac:dyDescent="0.25">
      <c r="A22" s="29"/>
      <c r="B22" s="60" t="s">
        <v>164</v>
      </c>
      <c r="C22" s="60">
        <v>2000</v>
      </c>
      <c r="D22" s="30"/>
      <c r="E22" s="30"/>
      <c r="F22" s="30"/>
      <c r="G22" s="30"/>
      <c r="H22" s="30"/>
      <c r="I22" s="31"/>
    </row>
    <row r="23" spans="1:9" x14ac:dyDescent="0.25">
      <c r="A23" s="29"/>
      <c r="B23" s="60" t="s">
        <v>37</v>
      </c>
      <c r="C23" s="60">
        <v>2000</v>
      </c>
      <c r="D23" s="30"/>
      <c r="E23" s="30"/>
      <c r="F23" s="30"/>
      <c r="G23" s="30"/>
      <c r="H23" s="30"/>
      <c r="I23" s="31"/>
    </row>
    <row r="24" spans="1:9" x14ac:dyDescent="0.25">
      <c r="A24" s="29"/>
      <c r="B24" s="60" t="s">
        <v>42</v>
      </c>
      <c r="C24" s="60">
        <v>2000</v>
      </c>
      <c r="D24" s="30"/>
      <c r="E24" s="30"/>
      <c r="F24" s="30"/>
      <c r="G24" s="30"/>
      <c r="H24" s="30"/>
      <c r="I24" s="31"/>
    </row>
    <row r="25" spans="1:9" x14ac:dyDescent="0.25">
      <c r="A25" s="29"/>
      <c r="B25" s="60" t="s">
        <v>167</v>
      </c>
      <c r="C25" s="60">
        <v>800</v>
      </c>
      <c r="D25" s="30"/>
      <c r="E25" s="30"/>
      <c r="F25" s="30"/>
      <c r="G25" s="30"/>
      <c r="H25" s="30"/>
      <c r="I25" s="31"/>
    </row>
    <row r="26" spans="1:9" x14ac:dyDescent="0.25">
      <c r="A26" s="29"/>
      <c r="B26" s="60" t="s">
        <v>165</v>
      </c>
      <c r="C26" s="60">
        <v>500</v>
      </c>
      <c r="D26" s="30"/>
      <c r="E26" s="30"/>
      <c r="F26" s="30"/>
      <c r="G26" s="30"/>
      <c r="H26" s="30"/>
      <c r="I26" s="31"/>
    </row>
    <row r="27" spans="1:9" x14ac:dyDescent="0.25">
      <c r="A27" s="29" t="str">
        <f>Antragsdaten!E21</f>
        <v>-</v>
      </c>
      <c r="B27" s="59" t="s">
        <v>30</v>
      </c>
      <c r="C27" s="60"/>
      <c r="D27" s="30"/>
      <c r="E27" s="30"/>
      <c r="F27" s="30"/>
      <c r="G27" s="30"/>
      <c r="H27" s="30"/>
      <c r="I27" s="31"/>
    </row>
    <row r="28" spans="1:9" x14ac:dyDescent="0.25">
      <c r="A28" s="29"/>
      <c r="B28" s="60" t="s">
        <v>30</v>
      </c>
      <c r="C28" s="60">
        <v>80</v>
      </c>
      <c r="D28" s="30" t="s">
        <v>48</v>
      </c>
      <c r="E28" s="60">
        <v>6</v>
      </c>
      <c r="F28" s="30">
        <f>C28*E28</f>
        <v>480</v>
      </c>
      <c r="G28" s="60">
        <v>30</v>
      </c>
      <c r="H28" s="30">
        <f>C28*G28</f>
        <v>2400</v>
      </c>
      <c r="I28" s="62">
        <v>50</v>
      </c>
    </row>
    <row r="29" spans="1:9" x14ac:dyDescent="0.25">
      <c r="A29" s="29" t="str">
        <f>Antragsdaten!E33</f>
        <v>-</v>
      </c>
      <c r="B29" s="59" t="s">
        <v>40</v>
      </c>
      <c r="C29" s="60"/>
      <c r="D29" s="30"/>
      <c r="E29" s="30"/>
      <c r="F29" s="30"/>
      <c r="G29" s="30"/>
      <c r="H29" s="30"/>
      <c r="I29" s="31"/>
    </row>
    <row r="30" spans="1:9" x14ac:dyDescent="0.25">
      <c r="A30" s="29"/>
      <c r="B30" s="60" t="s">
        <v>54</v>
      </c>
      <c r="C30" s="60">
        <v>100</v>
      </c>
      <c r="D30" s="30" t="s">
        <v>55</v>
      </c>
      <c r="E30" s="60">
        <v>5</v>
      </c>
      <c r="F30" s="30">
        <f>C30*E30</f>
        <v>500</v>
      </c>
      <c r="G30" s="60">
        <v>30</v>
      </c>
      <c r="H30" s="30">
        <f>C30*G30</f>
        <v>3000</v>
      </c>
      <c r="I30" s="62">
        <v>50</v>
      </c>
    </row>
    <row r="31" spans="1:9" x14ac:dyDescent="0.25">
      <c r="A31" s="29" t="str">
        <f>Antragsdaten!E43</f>
        <v>-</v>
      </c>
      <c r="B31" s="59" t="s">
        <v>187</v>
      </c>
      <c r="C31" s="60"/>
      <c r="D31" s="30"/>
      <c r="E31" s="30"/>
      <c r="F31" s="30"/>
      <c r="G31" s="30"/>
      <c r="H31" s="30"/>
      <c r="I31" s="31"/>
    </row>
    <row r="32" spans="1:9" x14ac:dyDescent="0.25">
      <c r="A32" s="29"/>
      <c r="B32" s="60" t="s">
        <v>65</v>
      </c>
      <c r="C32" s="60">
        <v>12</v>
      </c>
      <c r="D32" s="30" t="s">
        <v>48</v>
      </c>
      <c r="E32" s="60">
        <v>20</v>
      </c>
      <c r="F32" s="30">
        <f>C32*E32</f>
        <v>240</v>
      </c>
      <c r="G32" s="60">
        <v>400</v>
      </c>
      <c r="H32" s="30">
        <f>C32*G32</f>
        <v>4800</v>
      </c>
      <c r="I32" s="62">
        <v>50</v>
      </c>
    </row>
    <row r="33" spans="1:9" x14ac:dyDescent="0.25">
      <c r="A33" s="29"/>
      <c r="B33" s="60" t="s">
        <v>56</v>
      </c>
      <c r="C33" s="60">
        <v>6</v>
      </c>
      <c r="D33" s="30" t="s">
        <v>48</v>
      </c>
      <c r="E33" s="48" t="s">
        <v>74</v>
      </c>
      <c r="F33" s="30">
        <f>C33*E32</f>
        <v>120</v>
      </c>
      <c r="G33" s="48" t="s">
        <v>74</v>
      </c>
      <c r="H33" s="30">
        <f>C33*G32</f>
        <v>2400</v>
      </c>
      <c r="I33" s="63"/>
    </row>
    <row r="34" spans="1:9" x14ac:dyDescent="0.25">
      <c r="A34" s="29"/>
      <c r="B34" s="60" t="s">
        <v>138</v>
      </c>
      <c r="C34" s="60">
        <v>8</v>
      </c>
      <c r="D34" s="30" t="s">
        <v>48</v>
      </c>
      <c r="E34" s="60">
        <v>20</v>
      </c>
      <c r="F34" s="30">
        <f>C34*E34</f>
        <v>160</v>
      </c>
      <c r="G34" s="60">
        <v>200</v>
      </c>
      <c r="H34" s="30">
        <f>C34*G34</f>
        <v>1600</v>
      </c>
      <c r="I34" s="62">
        <f>I32</f>
        <v>50</v>
      </c>
    </row>
    <row r="35" spans="1:9" x14ac:dyDescent="0.25">
      <c r="A35" s="29"/>
      <c r="B35" s="60" t="s">
        <v>56</v>
      </c>
      <c r="C35" s="60">
        <v>6</v>
      </c>
      <c r="D35" s="30" t="s">
        <v>48</v>
      </c>
      <c r="E35" s="48" t="s">
        <v>74</v>
      </c>
      <c r="F35" s="30">
        <f>C35*E34</f>
        <v>120</v>
      </c>
      <c r="G35" s="48" t="s">
        <v>74</v>
      </c>
      <c r="H35" s="30">
        <f>C35*G34</f>
        <v>1200</v>
      </c>
      <c r="I35" s="63"/>
    </row>
    <row r="36" spans="1:9" x14ac:dyDescent="0.25">
      <c r="A36" s="29"/>
      <c r="B36" s="60" t="s">
        <v>139</v>
      </c>
      <c r="C36" s="60">
        <v>6</v>
      </c>
      <c r="D36" s="30" t="s">
        <v>48</v>
      </c>
      <c r="E36" s="60">
        <v>20</v>
      </c>
      <c r="F36" s="30">
        <f>C36*E36</f>
        <v>120</v>
      </c>
      <c r="G36" s="60">
        <v>200</v>
      </c>
      <c r="H36" s="30">
        <f>C36*G36</f>
        <v>1200</v>
      </c>
      <c r="I36" s="62">
        <f>I34</f>
        <v>50</v>
      </c>
    </row>
    <row r="37" spans="1:9" x14ac:dyDescent="0.25">
      <c r="A37" s="29"/>
      <c r="B37" s="60" t="s">
        <v>56</v>
      </c>
      <c r="C37" s="60">
        <v>6</v>
      </c>
      <c r="D37" s="30" t="s">
        <v>48</v>
      </c>
      <c r="E37" s="48" t="s">
        <v>74</v>
      </c>
      <c r="F37" s="30">
        <f>C37*E36</f>
        <v>120</v>
      </c>
      <c r="G37" s="48" t="s">
        <v>74</v>
      </c>
      <c r="H37" s="30">
        <f>C37*G36</f>
        <v>1200</v>
      </c>
      <c r="I37" s="63"/>
    </row>
    <row r="38" spans="1:9" x14ac:dyDescent="0.25">
      <c r="A38" s="29" t="str">
        <f>Antragsdaten!E74</f>
        <v>-</v>
      </c>
      <c r="B38" s="59" t="s">
        <v>32</v>
      </c>
      <c r="C38" s="60"/>
      <c r="D38" s="30"/>
      <c r="E38" s="30"/>
      <c r="F38" s="30"/>
      <c r="G38" s="30"/>
      <c r="H38" s="30"/>
      <c r="I38" s="31"/>
    </row>
    <row r="39" spans="1:9" x14ac:dyDescent="0.25">
      <c r="A39" s="29"/>
      <c r="B39" s="60" t="s">
        <v>51</v>
      </c>
      <c r="C39" s="60">
        <v>1000</v>
      </c>
      <c r="D39" s="30"/>
      <c r="E39" s="60">
        <v>1</v>
      </c>
      <c r="F39" s="30">
        <f>E39*C39</f>
        <v>1000</v>
      </c>
      <c r="G39" s="60">
        <v>1</v>
      </c>
      <c r="H39" s="30">
        <f>C39*G39</f>
        <v>1000</v>
      </c>
      <c r="I39" s="63" t="s">
        <v>83</v>
      </c>
    </row>
    <row r="40" spans="1:9" x14ac:dyDescent="0.25">
      <c r="A40" s="29"/>
      <c r="B40" s="60" t="s">
        <v>52</v>
      </c>
      <c r="C40" s="60">
        <v>50</v>
      </c>
      <c r="D40" s="30" t="s">
        <v>53</v>
      </c>
      <c r="E40" s="60">
        <v>2</v>
      </c>
      <c r="F40" s="30">
        <f>E40*C40</f>
        <v>100</v>
      </c>
      <c r="G40" s="60">
        <v>16</v>
      </c>
      <c r="H40" s="30">
        <f>C40*G40</f>
        <v>800</v>
      </c>
      <c r="I40" s="62">
        <v>50</v>
      </c>
    </row>
    <row r="41" spans="1:9" x14ac:dyDescent="0.25">
      <c r="A41" s="29" t="str">
        <f>Antragsdaten!E82</f>
        <v>-</v>
      </c>
      <c r="B41" s="59" t="s">
        <v>161</v>
      </c>
      <c r="C41" s="60"/>
      <c r="D41" s="30"/>
      <c r="E41" s="30"/>
      <c r="F41" s="30"/>
      <c r="G41" s="30"/>
      <c r="H41" s="30"/>
      <c r="I41" s="31"/>
    </row>
    <row r="42" spans="1:9" x14ac:dyDescent="0.25">
      <c r="A42" s="29"/>
      <c r="B42" s="61" t="s">
        <v>162</v>
      </c>
      <c r="C42" s="60">
        <v>50</v>
      </c>
      <c r="D42" s="30" t="s">
        <v>53</v>
      </c>
      <c r="E42" s="30">
        <v>1</v>
      </c>
      <c r="F42" s="30">
        <f>E42*C42</f>
        <v>50</v>
      </c>
      <c r="G42" s="30">
        <v>8</v>
      </c>
      <c r="H42" s="30">
        <f>C42*G42</f>
        <v>400</v>
      </c>
      <c r="I42" s="62">
        <v>50</v>
      </c>
    </row>
    <row r="43" spans="1:9" x14ac:dyDescent="0.25">
      <c r="A43" s="29" t="str">
        <f>Antragsdaten!E89</f>
        <v>-</v>
      </c>
      <c r="B43" s="59" t="s">
        <v>33</v>
      </c>
      <c r="C43" s="60"/>
      <c r="D43" s="30"/>
      <c r="E43" s="30"/>
      <c r="F43" s="30"/>
      <c r="G43" s="30"/>
      <c r="H43" s="30"/>
      <c r="I43" s="31"/>
    </row>
    <row r="44" spans="1:9" x14ac:dyDescent="0.25">
      <c r="A44" s="32"/>
      <c r="B44" s="64" t="s">
        <v>57</v>
      </c>
      <c r="C44" s="65">
        <v>15</v>
      </c>
      <c r="D44" s="33" t="s">
        <v>48</v>
      </c>
      <c r="E44" s="65">
        <v>10</v>
      </c>
      <c r="F44" s="33">
        <f>C44*E44</f>
        <v>150</v>
      </c>
      <c r="G44" s="65">
        <v>300</v>
      </c>
      <c r="H44" s="33">
        <f>C44*G44</f>
        <v>4500</v>
      </c>
      <c r="I44" s="66">
        <v>50</v>
      </c>
    </row>
    <row r="46" spans="1:9" x14ac:dyDescent="0.25">
      <c r="B46" s="11" t="s">
        <v>77</v>
      </c>
    </row>
    <row r="47" spans="1:9" x14ac:dyDescent="0.25">
      <c r="B47" s="21" t="s">
        <v>78</v>
      </c>
    </row>
    <row r="48" spans="1:9" x14ac:dyDescent="0.25">
      <c r="B48" s="22" t="s">
        <v>79</v>
      </c>
    </row>
    <row r="51" spans="1:5" ht="23.25" x14ac:dyDescent="0.35">
      <c r="A51" s="58" t="s">
        <v>129</v>
      </c>
    </row>
    <row r="53" spans="1:5" x14ac:dyDescent="0.25">
      <c r="B53" s="11" t="s">
        <v>117</v>
      </c>
    </row>
    <row r="54" spans="1:5" x14ac:dyDescent="0.25">
      <c r="B54" s="37" t="s">
        <v>116</v>
      </c>
      <c r="C54" s="38" t="s">
        <v>113</v>
      </c>
      <c r="D54" s="38" t="s">
        <v>114</v>
      </c>
      <c r="E54" s="39" t="s">
        <v>115</v>
      </c>
    </row>
    <row r="55" spans="1:5" x14ac:dyDescent="0.25">
      <c r="B55" s="29" t="str">
        <f t="shared" ref="B55:B61" si="1">B5</f>
        <v>Austauschprämie Zentralheizung</v>
      </c>
      <c r="C55" s="30" t="s">
        <v>119</v>
      </c>
      <c r="D55" s="30" t="s">
        <v>98</v>
      </c>
      <c r="E55" s="31"/>
    </row>
    <row r="56" spans="1:5" x14ac:dyDescent="0.25">
      <c r="B56" s="29" t="str">
        <f t="shared" si="1"/>
        <v>Thermische Solaranlage</v>
      </c>
      <c r="C56" s="30" t="s">
        <v>121</v>
      </c>
      <c r="D56" s="30" t="s">
        <v>120</v>
      </c>
      <c r="E56" s="31"/>
    </row>
    <row r="57" spans="1:5" x14ac:dyDescent="0.25">
      <c r="B57" s="29" t="str">
        <f t="shared" si="1"/>
        <v>PV-Speicher-Systeme</v>
      </c>
      <c r="C57" s="30" t="s">
        <v>159</v>
      </c>
      <c r="D57" s="30" t="s">
        <v>160</v>
      </c>
      <c r="E57" s="31" t="s">
        <v>122</v>
      </c>
    </row>
    <row r="58" spans="1:5" x14ac:dyDescent="0.25">
      <c r="B58" s="29" t="str">
        <f t="shared" si="1"/>
        <v>Dämmmaßnahmen an Bestandsgebäuden</v>
      </c>
      <c r="C58" s="30" t="s">
        <v>140</v>
      </c>
      <c r="D58" s="30" t="s">
        <v>141</v>
      </c>
      <c r="E58" s="31" t="s">
        <v>123</v>
      </c>
    </row>
    <row r="59" spans="1:5" x14ac:dyDescent="0.25">
      <c r="B59" s="29" t="str">
        <f t="shared" si="1"/>
        <v>Lüftungsanlage</v>
      </c>
      <c r="C59" s="30" t="s">
        <v>124</v>
      </c>
      <c r="D59" s="30" t="s">
        <v>125</v>
      </c>
      <c r="E59" s="31"/>
    </row>
    <row r="60" spans="1:5" x14ac:dyDescent="0.25">
      <c r="B60" s="29" t="str">
        <f t="shared" si="1"/>
        <v>Heizungspumpentausch</v>
      </c>
      <c r="C60" s="30" t="s">
        <v>244</v>
      </c>
      <c r="D60" s="30"/>
      <c r="E60" s="31"/>
    </row>
    <row r="61" spans="1:5" x14ac:dyDescent="0.25">
      <c r="B61" s="32" t="str">
        <f t="shared" si="1"/>
        <v>Begrünung und Flächenentsiegelung</v>
      </c>
      <c r="C61" s="33" t="s">
        <v>243</v>
      </c>
      <c r="D61" s="33"/>
      <c r="E61" s="34"/>
    </row>
    <row r="64" spans="1:5" x14ac:dyDescent="0.25">
      <c r="B64" s="11" t="s">
        <v>126</v>
      </c>
    </row>
    <row r="65" spans="2:12" x14ac:dyDescent="0.25">
      <c r="B65" s="35"/>
      <c r="C65" s="38" t="s">
        <v>100</v>
      </c>
      <c r="D65" s="38" t="s">
        <v>99</v>
      </c>
      <c r="E65" s="54" t="s">
        <v>96</v>
      </c>
      <c r="F65" s="38" t="s">
        <v>97</v>
      </c>
      <c r="G65" s="39" t="s">
        <v>102</v>
      </c>
      <c r="H65" s="11"/>
      <c r="I65" s="132" t="s">
        <v>147</v>
      </c>
      <c r="J65" s="133" t="s">
        <v>215</v>
      </c>
      <c r="K65" s="133" t="s">
        <v>214</v>
      </c>
      <c r="L65" s="134" t="s">
        <v>213</v>
      </c>
    </row>
    <row r="66" spans="2:12" x14ac:dyDescent="0.25">
      <c r="B66" s="25" t="str">
        <f>B5</f>
        <v>Austauschprämie Zentralheizung</v>
      </c>
      <c r="C66" s="43">
        <f>IF($A$18=$I$10,1,0)</f>
        <v>0</v>
      </c>
      <c r="D66" s="43"/>
      <c r="E66" s="70" t="s">
        <v>103</v>
      </c>
      <c r="F66" s="43"/>
      <c r="G66" s="44" t="str">
        <f>B18</f>
        <v>Austauschprämie Zentralheizung</v>
      </c>
      <c r="H66" s="11"/>
      <c r="I66" s="117">
        <f>C66</f>
        <v>0</v>
      </c>
      <c r="J66" s="30" t="str">
        <f>IF(Antragsdaten!$E$10="Ja","Das gültige Materialangebot","Das gültige Angebot des Fachbetriebs")</f>
        <v>Das gültige Angebot des Fachbetriebs</v>
      </c>
      <c r="K66" s="30" t="str">
        <f>IF(Antragsdaten!E100="Ja","Eine aktuelle De-Minimis-Erklärung ","")&amp;IF(AND(Antragsdaten!E99=J8,Antragsdaten!E100="Ja")=TRUE(),"und ","")&amp;IF(Antragsdaten!E99=J8,"Den Beschluss der WEG über die Antragstellung","")</f>
        <v/>
      </c>
      <c r="L66" s="31"/>
    </row>
    <row r="67" spans="2:12" x14ac:dyDescent="0.25">
      <c r="B67" s="55"/>
      <c r="C67" s="48" t="str">
        <f t="shared" ref="C67:C74" si="2">$C$66&amp;"."&amp;F67</f>
        <v>0.1</v>
      </c>
      <c r="D67" s="45"/>
      <c r="E67" s="46"/>
      <c r="F67" s="30">
        <v>1</v>
      </c>
      <c r="G67" s="31">
        <f>Antragsdaten!E16</f>
        <v>0</v>
      </c>
      <c r="I67" s="29"/>
      <c r="J67" s="30"/>
      <c r="K67" s="30"/>
      <c r="L67" s="31"/>
    </row>
    <row r="68" spans="2:12" x14ac:dyDescent="0.25">
      <c r="B68" s="55"/>
      <c r="C68" s="48" t="str">
        <f t="shared" si="2"/>
        <v>0.2</v>
      </c>
      <c r="D68" s="45"/>
      <c r="E68" s="46"/>
      <c r="F68" s="30">
        <v>2</v>
      </c>
      <c r="G68" s="31">
        <f>Antragsdaten!E17</f>
        <v>0</v>
      </c>
      <c r="I68" s="29"/>
      <c r="J68" s="30"/>
      <c r="K68" s="30"/>
      <c r="L68" s="31"/>
    </row>
    <row r="69" spans="2:12" x14ac:dyDescent="0.25">
      <c r="B69" s="55"/>
      <c r="C69" s="48" t="str">
        <f t="shared" si="2"/>
        <v>0.</v>
      </c>
      <c r="D69" s="45"/>
      <c r="E69" s="46"/>
      <c r="F69" s="30"/>
      <c r="G69" s="31"/>
      <c r="I69" s="29"/>
      <c r="J69" s="30"/>
      <c r="K69" s="30"/>
      <c r="L69" s="31"/>
    </row>
    <row r="70" spans="2:12" x14ac:dyDescent="0.25">
      <c r="B70" s="55"/>
      <c r="C70" s="48" t="str">
        <f t="shared" si="2"/>
        <v>0.</v>
      </c>
      <c r="D70" s="45"/>
      <c r="E70" s="46"/>
      <c r="F70" s="30"/>
      <c r="G70" s="31"/>
      <c r="I70" s="29"/>
      <c r="J70" s="30"/>
      <c r="K70" s="30"/>
      <c r="L70" s="31"/>
    </row>
    <row r="71" spans="2:12" x14ac:dyDescent="0.25">
      <c r="B71" s="55"/>
      <c r="C71" s="48" t="str">
        <f t="shared" si="2"/>
        <v>0.</v>
      </c>
      <c r="D71" s="45"/>
      <c r="E71" s="46"/>
      <c r="F71" s="30"/>
      <c r="G71" s="31"/>
      <c r="I71" s="29"/>
      <c r="J71" s="30"/>
      <c r="K71" s="30"/>
      <c r="L71" s="31"/>
    </row>
    <row r="72" spans="2:12" x14ac:dyDescent="0.25">
      <c r="B72" s="55"/>
      <c r="C72" s="48" t="str">
        <f t="shared" si="2"/>
        <v>0.</v>
      </c>
      <c r="D72" s="45"/>
      <c r="E72" s="46"/>
      <c r="F72" s="30"/>
      <c r="G72" s="31"/>
      <c r="I72" s="29"/>
      <c r="J72" s="30"/>
      <c r="K72" s="30"/>
      <c r="L72" s="31"/>
    </row>
    <row r="73" spans="2:12" x14ac:dyDescent="0.25">
      <c r="B73" s="55"/>
      <c r="C73" s="48" t="str">
        <f t="shared" si="2"/>
        <v>0.</v>
      </c>
      <c r="D73" s="45"/>
      <c r="E73" s="46"/>
      <c r="F73" s="30"/>
      <c r="G73" s="31"/>
      <c r="I73" s="29"/>
      <c r="J73" s="30"/>
      <c r="K73" s="30"/>
      <c r="L73" s="31"/>
    </row>
    <row r="74" spans="2:12" x14ac:dyDescent="0.25">
      <c r="B74" s="56"/>
      <c r="C74" s="50" t="str">
        <f t="shared" si="2"/>
        <v>0.</v>
      </c>
      <c r="D74" s="51"/>
      <c r="E74" s="52"/>
      <c r="F74" s="33"/>
      <c r="G74" s="34"/>
      <c r="I74" s="29"/>
      <c r="J74" s="30"/>
      <c r="K74" s="30"/>
      <c r="L74" s="31"/>
    </row>
    <row r="75" spans="2:12" x14ac:dyDescent="0.25">
      <c r="B75" s="25" t="str">
        <f>B56</f>
        <v>Thermische Solaranlage</v>
      </c>
      <c r="C75" s="43">
        <f>IF($A$27=$I$10,1,0)</f>
        <v>0</v>
      </c>
      <c r="D75" s="43"/>
      <c r="E75" s="70" t="s">
        <v>104</v>
      </c>
      <c r="F75" s="43"/>
      <c r="G75" s="44" t="str">
        <f>B27</f>
        <v>Thermische Solaranlage</v>
      </c>
      <c r="H75" s="11"/>
      <c r="I75" s="117">
        <f>C75</f>
        <v>0</v>
      </c>
      <c r="J75" s="30" t="str">
        <f>IF(Antragsdaten!$E$10="Ja","Das gültige Materialangebot","Das gültige Angebot des Fachbetriebs")</f>
        <v>Das gültige Angebot des Fachbetriebs</v>
      </c>
      <c r="K75" s="30" t="str">
        <f>IF(Antragsdaten!E100="Ja","Eine aktuelle De-Minimis-Erklärung ","")&amp;IF(AND(Antragsdaten!E99=J8,Antragsdaten!E100="Ja")=TRUE(),"und ","")&amp;IF(Antragsdaten!E99=J8,"Den Beschluss der WEG über die Antragstellung","")</f>
        <v/>
      </c>
      <c r="L75" s="31"/>
    </row>
    <row r="76" spans="2:12" x14ac:dyDescent="0.25">
      <c r="B76" s="55"/>
      <c r="C76" s="48" t="str">
        <f>$C$75&amp;"."&amp;F76</f>
        <v>0.1</v>
      </c>
      <c r="D76" s="45"/>
      <c r="E76" s="46"/>
      <c r="F76" s="30">
        <v>1</v>
      </c>
      <c r="G76" s="31" t="str">
        <f>ROUNDDOWN(Antragsdaten!E26,1)&amp;" m²"</f>
        <v>0 m²</v>
      </c>
      <c r="I76" s="29"/>
      <c r="J76" s="30"/>
      <c r="K76" s="30"/>
      <c r="L76" s="31"/>
    </row>
    <row r="77" spans="2:12" x14ac:dyDescent="0.25">
      <c r="B77" s="56"/>
      <c r="C77" s="50" t="str">
        <f>$C$75&amp;"."&amp;F77</f>
        <v>0.2</v>
      </c>
      <c r="D77" s="51"/>
      <c r="E77" s="52"/>
      <c r="F77" s="33">
        <v>2</v>
      </c>
      <c r="G77" s="34" t="str">
        <f>ROUNDDOWN(Antragsdaten!E27,0)&amp;" Liter"</f>
        <v>0 Liter</v>
      </c>
      <c r="I77" s="29"/>
      <c r="J77" s="30"/>
      <c r="K77" s="30"/>
      <c r="L77" s="31"/>
    </row>
    <row r="78" spans="2:12" x14ac:dyDescent="0.25">
      <c r="B78" s="25" t="str">
        <f>B57</f>
        <v>PV-Speicher-Systeme</v>
      </c>
      <c r="C78" s="43">
        <f>IF($A$29=$I$10,1,0)</f>
        <v>0</v>
      </c>
      <c r="D78" s="43"/>
      <c r="E78" s="70" t="s">
        <v>105</v>
      </c>
      <c r="F78" s="43"/>
      <c r="G78" s="44" t="str">
        <f>B29</f>
        <v>PV-Speicher-Systeme</v>
      </c>
      <c r="H78" s="11"/>
      <c r="I78" s="117">
        <f>C78</f>
        <v>0</v>
      </c>
      <c r="J78" s="30" t="str">
        <f>IF(Antragsdaten!$E$10="Ja","Das gültige Materialangebot","Das gültige Angebot des Fachbetriebs")</f>
        <v>Das gültige Angebot des Fachbetriebs</v>
      </c>
      <c r="K78" s="30" t="str">
        <f>IF(Antragsdaten!E100="Ja","Eine aktuelle De-Minimis-Erklärung ","")&amp;IF(AND(Antragsdaten!E99=J8,Antragsdaten!E100="Ja")=TRUE(),"und ","")&amp;IF(Antragsdaten!E99=J8,"Den Beschluss der WEG über die Antragstellung","")</f>
        <v/>
      </c>
      <c r="L78" s="31"/>
    </row>
    <row r="79" spans="2:12" x14ac:dyDescent="0.25">
      <c r="B79" s="55"/>
      <c r="C79" s="48" t="str">
        <f>$C$78&amp;"."&amp;F79</f>
        <v>0.1</v>
      </c>
      <c r="D79" s="45"/>
      <c r="E79" s="46"/>
      <c r="F79" s="30">
        <v>1</v>
      </c>
      <c r="G79" s="49" t="str">
        <f>ROUNDDOWN(Antragsdaten!E36,1)&amp;" kWp"</f>
        <v>0 kWp</v>
      </c>
      <c r="I79" s="29"/>
      <c r="J79" s="30"/>
      <c r="K79" s="30"/>
      <c r="L79" s="31"/>
    </row>
    <row r="80" spans="2:12" x14ac:dyDescent="0.25">
      <c r="B80" s="55"/>
      <c r="C80" s="48" t="str">
        <f>$C$78&amp;"."&amp;F80</f>
        <v>0.2</v>
      </c>
      <c r="D80" s="45"/>
      <c r="E80" s="46"/>
      <c r="F80" s="47">
        <v>2</v>
      </c>
      <c r="G80" s="49" t="str">
        <f>ROUNDDOWN(Antragsdaten!E37,1)&amp;" kWh"</f>
        <v>0 kWh</v>
      </c>
      <c r="I80" s="29"/>
      <c r="J80" s="30"/>
      <c r="K80" s="30"/>
      <c r="L80" s="31"/>
    </row>
    <row r="81" spans="2:12" x14ac:dyDescent="0.25">
      <c r="B81" s="56"/>
      <c r="C81" s="50" t="str">
        <f>$C$78&amp;"."&amp;F81</f>
        <v>0.3</v>
      </c>
      <c r="D81" s="51"/>
      <c r="E81" s="52"/>
      <c r="F81" s="33">
        <v>3</v>
      </c>
      <c r="G81" s="57" t="str">
        <f>Antragsdaten!E38&amp;" kWp bzw. kWh"</f>
        <v>0 kWp bzw. kWh</v>
      </c>
      <c r="I81" s="29"/>
      <c r="J81" s="30"/>
      <c r="K81" s="30"/>
      <c r="L81" s="31"/>
    </row>
    <row r="82" spans="2:12" x14ac:dyDescent="0.25">
      <c r="B82" s="25" t="str">
        <f>B58</f>
        <v>Dämmmaßnahmen an Bestandsgebäuden</v>
      </c>
      <c r="C82" s="43">
        <f>IF($A$31=$I$10,1,0)</f>
        <v>0</v>
      </c>
      <c r="D82" s="43"/>
      <c r="E82" s="70" t="s">
        <v>106</v>
      </c>
      <c r="F82" s="43"/>
      <c r="G82" s="44" t="str">
        <f>B31</f>
        <v>Dämmmaßnahmen an Bestandsgebäuden</v>
      </c>
      <c r="H82" s="11"/>
      <c r="I82" s="117">
        <f>C82</f>
        <v>0</v>
      </c>
      <c r="J82" s="30" t="str">
        <f>IF(Antragsdaten!$E$10="Ja","Das gültige Materialangebot","Das gültige Angebot des Fachbetriebs")</f>
        <v>Das gültige Angebot des Fachbetriebs</v>
      </c>
      <c r="K82" s="30" t="s">
        <v>219</v>
      </c>
      <c r="L82" s="31" t="str">
        <f>IF(Antragsdaten!E100="Ja","Eine aktuelle De-Minimis-Erklärung ","")&amp;IF(AND(Antragsdaten!E99=J8,Antragsdaten!E100="Ja")=TRUE(),"und ","")&amp;IF(Antragsdaten!E99=J8,"Den Beschluss der WEG über die Antragstellung","")</f>
        <v/>
      </c>
    </row>
    <row r="83" spans="2:12" x14ac:dyDescent="0.25">
      <c r="B83" s="55"/>
      <c r="C83" s="48" t="str">
        <f>$C$82&amp;"."&amp;F83</f>
        <v>0.1</v>
      </c>
      <c r="D83" s="45">
        <f>IF(Antragsdaten!H50="OK",1,0)</f>
        <v>0</v>
      </c>
      <c r="E83" s="46"/>
      <c r="F83" s="30">
        <v>1</v>
      </c>
      <c r="G83" s="31" t="str">
        <f>IF(Antragsdaten!H50="OK",ROUNDDOWN(Antragsdaten!E50,0)&amp;" m²"&amp;G84,"-")</f>
        <v>-</v>
      </c>
      <c r="I83" s="29"/>
      <c r="J83" s="30"/>
      <c r="K83" s="30"/>
      <c r="L83" s="31"/>
    </row>
    <row r="84" spans="2:12" x14ac:dyDescent="0.25">
      <c r="B84" s="55"/>
      <c r="C84" s="48"/>
      <c r="D84" s="45">
        <f>IF(Antragsdaten!E51=I4,IF(D83=1,1,0),0)</f>
        <v>0</v>
      </c>
      <c r="E84" s="46"/>
      <c r="F84" s="30"/>
      <c r="G84" s="31" t="str">
        <f>IF(D84=0,""," aus nachwachsenden Rohstoffen")</f>
        <v/>
      </c>
      <c r="I84" s="29"/>
      <c r="J84" s="30"/>
      <c r="K84" s="30"/>
      <c r="L84" s="31"/>
    </row>
    <row r="85" spans="2:12" x14ac:dyDescent="0.25">
      <c r="B85" s="55"/>
      <c r="C85" s="48" t="str">
        <f>$C$82&amp;"."&amp;F85</f>
        <v>0.2</v>
      </c>
      <c r="D85" s="45">
        <f>IF(Antragsdaten!H58="OK",1,0)</f>
        <v>0</v>
      </c>
      <c r="E85" s="46"/>
      <c r="F85" s="30">
        <v>2</v>
      </c>
      <c r="G85" s="31" t="str">
        <f>IF(Antragsdaten!H58="OK",ROUNDDOWN(Antragsdaten!E58,0)&amp;" m²"&amp;G86,"-")</f>
        <v>-</v>
      </c>
      <c r="I85" s="29"/>
      <c r="J85" s="30"/>
      <c r="K85" s="30"/>
      <c r="L85" s="31"/>
    </row>
    <row r="86" spans="2:12" x14ac:dyDescent="0.25">
      <c r="B86" s="55"/>
      <c r="C86" s="48"/>
      <c r="D86" s="45">
        <f>IF(Antragsdaten!E59=I4,IF(D85=1,1,0),0)</f>
        <v>0</v>
      </c>
      <c r="E86" s="46"/>
      <c r="F86" s="30"/>
      <c r="G86" s="31" t="str">
        <f>IF(D86=0,""," aus nachwachsenden Rohstoffen")</f>
        <v/>
      </c>
      <c r="I86" s="29"/>
      <c r="J86" s="30"/>
      <c r="K86" s="30"/>
      <c r="L86" s="31"/>
    </row>
    <row r="87" spans="2:12" x14ac:dyDescent="0.25">
      <c r="B87" s="55"/>
      <c r="C87" s="48" t="str">
        <f>$C$82&amp;"."&amp;F87</f>
        <v>0.3</v>
      </c>
      <c r="D87" s="45">
        <f>IF(Antragsdaten!H66="OK",1,0)</f>
        <v>0</v>
      </c>
      <c r="E87" s="46"/>
      <c r="F87" s="30">
        <v>3</v>
      </c>
      <c r="G87" s="31" t="str">
        <f>IF(Antragsdaten!H66="OK",ROUNDDOWN(Antragsdaten!E66,0)&amp;" m²"&amp;G88,"-")</f>
        <v>-</v>
      </c>
      <c r="I87" s="29"/>
      <c r="J87" s="30"/>
      <c r="K87" s="30"/>
      <c r="L87" s="31"/>
    </row>
    <row r="88" spans="2:12" x14ac:dyDescent="0.25">
      <c r="B88" s="56"/>
      <c r="C88" s="50"/>
      <c r="D88" s="51">
        <f>IF(Antragsdaten!E67=I4,IF(D87=1,1,0),0)</f>
        <v>0</v>
      </c>
      <c r="E88" s="52"/>
      <c r="F88" s="33"/>
      <c r="G88" s="34" t="str">
        <f>IF(D88=0,""," aus nachwachsenden Rohstoffen")</f>
        <v/>
      </c>
      <c r="I88" s="29"/>
      <c r="J88" s="30"/>
      <c r="K88" s="30"/>
      <c r="L88" s="31"/>
    </row>
    <row r="89" spans="2:12" x14ac:dyDescent="0.25">
      <c r="B89" s="25" t="str">
        <f>B59</f>
        <v>Lüftungsanlage</v>
      </c>
      <c r="C89" s="43">
        <f>IF($A$38=$I$10,1,0)</f>
        <v>0</v>
      </c>
      <c r="D89" s="43"/>
      <c r="E89" s="70" t="s">
        <v>107</v>
      </c>
      <c r="F89" s="43"/>
      <c r="G89" s="44" t="str">
        <f>B38</f>
        <v>Lüftungsanlage</v>
      </c>
      <c r="H89" s="11"/>
      <c r="I89" s="117">
        <f>C89</f>
        <v>0</v>
      </c>
      <c r="J89" s="30" t="str">
        <f>IF(Antragsdaten!$E$10="Ja","Das gültige Materialangebot","Das gültige Angebot des Fachbetriebs")</f>
        <v>Das gültige Angebot des Fachbetriebs</v>
      </c>
      <c r="K89" s="30" t="str">
        <f>IF(Antragsdaten!E100="Ja","Eine aktuelle De-Minimis-Erklärung ","")&amp;IF(AND(Antragsdaten!E99=J8,Antragsdaten!E100="Ja")=TRUE(),"und ","")&amp;IF(Antragsdaten!E99=J8,"Den Beschluss der WEG über die Antragstellung","")</f>
        <v/>
      </c>
      <c r="L89" s="31"/>
    </row>
    <row r="90" spans="2:12" x14ac:dyDescent="0.25">
      <c r="B90" s="55"/>
      <c r="C90" s="48" t="str">
        <f>$C$89&amp;"."&amp;F90</f>
        <v>0.1</v>
      </c>
      <c r="D90" s="45"/>
      <c r="E90" s="46"/>
      <c r="F90" s="30">
        <v>1</v>
      </c>
      <c r="G90" s="31" t="str">
        <f>IF(Antragsdaten!H75="OK",Antragsdaten!E75,"-")</f>
        <v>-</v>
      </c>
      <c r="I90" s="29"/>
      <c r="J90" s="30"/>
      <c r="K90" s="30"/>
      <c r="L90" s="31"/>
    </row>
    <row r="91" spans="2:12" x14ac:dyDescent="0.25">
      <c r="B91" s="56"/>
      <c r="C91" s="50" t="str">
        <f>$C$89&amp;"."&amp;F91</f>
        <v>0.2</v>
      </c>
      <c r="D91" s="51"/>
      <c r="E91" s="52"/>
      <c r="F91" s="33">
        <v>2</v>
      </c>
      <c r="G91" s="57">
        <f>ROUNDDOWN(Antragsdaten!E77,0)</f>
        <v>0</v>
      </c>
      <c r="I91" s="29"/>
      <c r="J91" s="30"/>
      <c r="K91" s="30"/>
      <c r="L91" s="31"/>
    </row>
    <row r="92" spans="2:12" x14ac:dyDescent="0.25">
      <c r="B92" s="25" t="str">
        <f>B60</f>
        <v>Heizungspumpentausch</v>
      </c>
      <c r="C92" s="43">
        <f>IF($A$41=$I$10,1,0)</f>
        <v>0</v>
      </c>
      <c r="D92" s="43"/>
      <c r="E92" s="70" t="s">
        <v>108</v>
      </c>
      <c r="F92" s="43"/>
      <c r="G92" s="44" t="str">
        <f>B41</f>
        <v>Heizungspumpentausch</v>
      </c>
      <c r="H92" s="11"/>
      <c r="I92" s="117">
        <f>C92</f>
        <v>0</v>
      </c>
      <c r="J92" s="30" t="str">
        <f>IF(Antragsdaten!$E$10="Ja","Das gültige Materialangebot","Das gültige Angebot des Fachbetriebs")</f>
        <v>Das gültige Angebot des Fachbetriebs</v>
      </c>
      <c r="K92" s="30" t="str">
        <f>IF(Antragsdaten!E100="Ja","Eine aktuelle De-Minimis-Erklärung ","")&amp;IF(AND(Antragsdaten!E99=J8,Antragsdaten!E100="Ja")=TRUE(),"und ","")&amp;IF(Antragsdaten!E99=J8,"Den Beschluss der WEG über die Antragstellung","")</f>
        <v/>
      </c>
      <c r="L92" s="31"/>
    </row>
    <row r="93" spans="2:12" x14ac:dyDescent="0.25">
      <c r="B93" s="56"/>
      <c r="C93" s="50" t="str">
        <f>$C$92&amp;"."&amp;F93</f>
        <v>0.1</v>
      </c>
      <c r="D93" s="51"/>
      <c r="E93" s="52"/>
      <c r="F93" s="33">
        <v>1</v>
      </c>
      <c r="G93" s="169">
        <f>ROUNDDOWN(Antragsdaten!E84,0)</f>
        <v>0</v>
      </c>
      <c r="I93" s="29"/>
      <c r="J93" s="30"/>
      <c r="K93" s="30"/>
      <c r="L93" s="31"/>
    </row>
    <row r="94" spans="2:12" x14ac:dyDescent="0.25">
      <c r="B94" s="25" t="str">
        <f>B61</f>
        <v>Begrünung und Flächenentsiegelung</v>
      </c>
      <c r="C94" s="43">
        <f>IF($A$43=$I$10,1,0)</f>
        <v>0</v>
      </c>
      <c r="D94" s="43"/>
      <c r="E94" s="70" t="s">
        <v>109</v>
      </c>
      <c r="F94" s="43"/>
      <c r="G94" s="44" t="str">
        <f>B43</f>
        <v>Begrünung und Flächenentsiegelung</v>
      </c>
      <c r="H94" s="11"/>
      <c r="I94" s="131">
        <f>C94</f>
        <v>0</v>
      </c>
      <c r="J94" s="30" t="str">
        <f>IF(Antragsdaten!$E$10="Ja","Das gültige Materialangebot","Das gültige Angebot des Fachbetriebs")</f>
        <v>Das gültige Angebot des Fachbetriebs</v>
      </c>
      <c r="K94" s="33" t="str">
        <f>IF(Antragsdaten!E100="Ja","Eine aktuelle De-Minimis-Erklärung ","")&amp;IF(AND(Antragsdaten!E99=J8,Antragsdaten!E100="Ja")=TRUE(),"und ","")&amp;IF(Antragsdaten!E99=J8,"Den Beschluss der WEG über die Antragstellung","")</f>
        <v/>
      </c>
      <c r="L94" s="34"/>
    </row>
    <row r="95" spans="2:12" x14ac:dyDescent="0.25">
      <c r="B95" s="56"/>
      <c r="C95" s="50" t="str">
        <f>$C$94&amp;"."&amp;F95</f>
        <v>0.1</v>
      </c>
      <c r="D95" s="51"/>
      <c r="E95" s="52"/>
      <c r="F95" s="33">
        <v>1</v>
      </c>
      <c r="G95" s="53" t="str">
        <f>IF(Antragsdaten!H91="OK",ROUNDDOWN(Antragsdaten!E91,0)&amp;" m²","-")</f>
        <v>-</v>
      </c>
    </row>
    <row r="96" spans="2:12" x14ac:dyDescent="0.25">
      <c r="E96" s="26"/>
    </row>
    <row r="97" spans="1:4" x14ac:dyDescent="0.25">
      <c r="C97" t="s">
        <v>101</v>
      </c>
    </row>
    <row r="100" spans="1:4" x14ac:dyDescent="0.25">
      <c r="B100" s="27" t="s">
        <v>131</v>
      </c>
      <c r="C100" s="151" t="str">
        <f>IF(ISNA(VLOOKUP("Aktiv",Hintergrunddaten!A17:B44,2,)),"-",(VLOOKUP("Aktiv",Hintergrunddaten!A17:B44,2,)))</f>
        <v>-</v>
      </c>
      <c r="D100" s="28"/>
    </row>
    <row r="101" spans="1:4" x14ac:dyDescent="0.25">
      <c r="B101" s="35" t="s">
        <v>118</v>
      </c>
      <c r="C101" s="36">
        <f>SUM(Antragsdaten!E18,Antragsdaten!E29,Antragsdaten!E39,Antragsdaten!E71,Antragsdaten!E78,Antragsdaten!E85,Antragsdaten!E92)</f>
        <v>0</v>
      </c>
      <c r="D101" s="167" t="s">
        <v>91</v>
      </c>
    </row>
    <row r="102" spans="1:4" x14ac:dyDescent="0.25">
      <c r="B102" s="35" t="s">
        <v>230</v>
      </c>
      <c r="C102" s="36">
        <f>IF(AND(Antragsdaten!H10="OK",Antragsdaten!H9="OK",Antragsdaten!H11="OK",C109="OK",C110="OK")=TRUE(),1,0)</f>
        <v>0</v>
      </c>
      <c r="D102" s="167" t="s">
        <v>231</v>
      </c>
    </row>
    <row r="103" spans="1:4" x14ac:dyDescent="0.25">
      <c r="B103" s="35" t="s">
        <v>232</v>
      </c>
      <c r="C103" s="36">
        <f>SUM(Antragsdaten!F18,Antragsdaten!F30,Antragsdaten!F40,Antragsdaten!F71,Antragsdaten!F79,Antragsdaten!F86,Antragsdaten!F93)</f>
        <v>0</v>
      </c>
      <c r="D103" s="167" t="s">
        <v>91</v>
      </c>
    </row>
    <row r="104" spans="1:4" x14ac:dyDescent="0.25">
      <c r="B104" s="35" t="s">
        <v>235</v>
      </c>
      <c r="C104" s="36">
        <f>Antragsdaten!E12</f>
        <v>0</v>
      </c>
      <c r="D104" s="167" t="s">
        <v>91</v>
      </c>
    </row>
    <row r="105" spans="1:4" x14ac:dyDescent="0.25">
      <c r="B105" s="152" t="s">
        <v>236</v>
      </c>
      <c r="C105" s="153">
        <f>IF(C104&lt;C103,0,IF(C104&lt;C101,C104*C102,C101*C102))</f>
        <v>0</v>
      </c>
      <c r="D105" s="154" t="s">
        <v>91</v>
      </c>
    </row>
    <row r="107" spans="1:4" ht="23.25" x14ac:dyDescent="0.35">
      <c r="A107" s="58" t="s">
        <v>128</v>
      </c>
    </row>
    <row r="109" spans="1:4" x14ac:dyDescent="0.25">
      <c r="B109" t="s">
        <v>145</v>
      </c>
      <c r="C109" t="str">
        <f>IF(AND(Antragsdaten!H99="OK",Antragsdaten!H100="OK",Antragsdaten!H102="OK",Antragsdaten!H103="OK",Antragsdaten!H104="OK",Antragsdaten!H105="OK",Antragsdaten!H106="OK",Antragsdaten!H107="OK",Antragsdaten!H108="OK",Antragsdaten!H109="OK",Antragsdaten!H110="OK",Antragsdaten!H111="OK",Antragsdaten!H114="OK",Antragsdaten!H116="OK",Antragsdaten!H117="OK",Antragsdaten!H120="OK",Antragsdaten!H121="OK",Antragsdaten!H123="OK",Antragsdaten!H124="OK")=TRUE(),"OK","Fehlende Daten")</f>
        <v>Fehlende Daten</v>
      </c>
    </row>
    <row r="110" spans="1:4" x14ac:dyDescent="0.25">
      <c r="B110" t="s">
        <v>146</v>
      </c>
      <c r="C110" t="str">
        <f>IF(Antragsdaten!H122="OK"=TRUE(),"OK","Gebäude nicht in Dingolfing")</f>
        <v>Gebäude nicht in Dingolfing</v>
      </c>
    </row>
    <row r="111" spans="1:4" x14ac:dyDescent="0.25">
      <c r="B111" t="s">
        <v>208</v>
      </c>
      <c r="C111" t="str">
        <f>Antragsdaten!H100</f>
        <v>Bitte ausfüllen</v>
      </c>
      <c r="D111" t="s">
        <v>209</v>
      </c>
    </row>
    <row r="112" spans="1:4" ht="23.25" x14ac:dyDescent="0.35">
      <c r="A112" s="58" t="s">
        <v>156</v>
      </c>
    </row>
    <row r="113" spans="2:3" x14ac:dyDescent="0.25">
      <c r="B113" t="s">
        <v>145</v>
      </c>
      <c r="C113" t="str">
        <f>IF(AND(Antragsdaten!H130="OK",Antragsdaten!H136="OK",Antragsdaten!H131="OK",Antragsdaten!H132="OK",Antragsdaten!H133="OK",Antragsdaten!H134="OK",Antragsdaten!H137="OK",Antragsdaten!H138="OK",Antragsdaten!H139="OK",Antragsdaten!H140="OK")=TRUE(),"OK","Fehlende Daten")</f>
        <v>Fehlende Daten</v>
      </c>
    </row>
  </sheetData>
  <conditionalFormatting sqref="A29">
    <cfRule type="containsText" dxfId="6" priority="7" operator="containsText" text="Aktiv">
      <formula>NOT(ISERROR(SEARCH("Aktiv",A29)))</formula>
    </cfRule>
  </conditionalFormatting>
  <conditionalFormatting sqref="A27">
    <cfRule type="containsText" dxfId="5" priority="6" operator="containsText" text="Aktiv">
      <formula>NOT(ISERROR(SEARCH("Aktiv",A27)))</formula>
    </cfRule>
  </conditionalFormatting>
  <conditionalFormatting sqref="A18">
    <cfRule type="containsText" dxfId="4" priority="5" operator="containsText" text="Aktiv">
      <formula>NOT(ISERROR(SEARCH("Aktiv",A18)))</formula>
    </cfRule>
  </conditionalFormatting>
  <conditionalFormatting sqref="A31">
    <cfRule type="containsText" dxfId="3" priority="4" operator="containsText" text="Aktiv">
      <formula>NOT(ISERROR(SEARCH("Aktiv",A31)))</formula>
    </cfRule>
  </conditionalFormatting>
  <conditionalFormatting sqref="A38">
    <cfRule type="containsText" dxfId="2" priority="3" operator="containsText" text="Aktiv">
      <formula>NOT(ISERROR(SEARCH("Aktiv",A38)))</formula>
    </cfRule>
  </conditionalFormatting>
  <conditionalFormatting sqref="A41">
    <cfRule type="containsText" dxfId="1" priority="2" operator="containsText" text="Aktiv">
      <formula>NOT(ISERROR(SEARCH("Aktiv",A41)))</formula>
    </cfRule>
  </conditionalFormatting>
  <conditionalFormatting sqref="A43">
    <cfRule type="containsText" dxfId="0" priority="1" operator="containsText" text="Aktiv">
      <formula>NOT(ISERROR(SEARCH("Aktiv",A43)))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E29"/>
  <sheetViews>
    <sheetView workbookViewId="0">
      <selection activeCell="B37" sqref="B37"/>
    </sheetView>
  </sheetViews>
  <sheetFormatPr baseColWidth="10" defaultRowHeight="15" x14ac:dyDescent="0.25"/>
  <cols>
    <col min="1" max="1" width="37.28515625" bestFit="1" customWidth="1"/>
    <col min="2" max="2" width="11.42578125" customWidth="1"/>
    <col min="3" max="3" width="24.28515625" bestFit="1" customWidth="1"/>
    <col min="4" max="5" width="13.42578125" bestFit="1" customWidth="1"/>
  </cols>
  <sheetData>
    <row r="2" spans="1:5" ht="36.75" customHeight="1" x14ac:dyDescent="0.25">
      <c r="A2" s="90" t="s">
        <v>179</v>
      </c>
      <c r="B2" s="206" t="s">
        <v>180</v>
      </c>
      <c r="C2" s="207"/>
      <c r="D2" s="91" t="s">
        <v>177</v>
      </c>
      <c r="E2" s="91" t="s">
        <v>178</v>
      </c>
    </row>
    <row r="3" spans="1:5" x14ac:dyDescent="0.25">
      <c r="A3" s="77" t="s">
        <v>29</v>
      </c>
      <c r="B3" s="78"/>
      <c r="C3" s="79"/>
      <c r="D3" s="80"/>
      <c r="E3" s="80"/>
    </row>
    <row r="4" spans="1:5" x14ac:dyDescent="0.25">
      <c r="A4" s="81" t="s">
        <v>35</v>
      </c>
      <c r="B4" s="82">
        <f>Hintergrunddaten!C19</f>
        <v>500</v>
      </c>
      <c r="C4" s="79" t="s">
        <v>176</v>
      </c>
      <c r="D4" s="80"/>
      <c r="E4" s="80"/>
    </row>
    <row r="5" spans="1:5" x14ac:dyDescent="0.25">
      <c r="A5" s="81" t="s">
        <v>36</v>
      </c>
      <c r="B5" s="82">
        <f>Hintergrunddaten!C20</f>
        <v>800</v>
      </c>
      <c r="C5" s="79" t="s">
        <v>176</v>
      </c>
      <c r="D5" s="80"/>
      <c r="E5" s="80"/>
    </row>
    <row r="6" spans="1:5" x14ac:dyDescent="0.25">
      <c r="A6" s="78" t="s">
        <v>39</v>
      </c>
      <c r="B6" s="82">
        <f>Hintergrunddaten!C21</f>
        <v>2000</v>
      </c>
      <c r="C6" s="79" t="s">
        <v>176</v>
      </c>
      <c r="D6" s="80"/>
      <c r="E6" s="80"/>
    </row>
    <row r="7" spans="1:5" x14ac:dyDescent="0.25">
      <c r="A7" s="78" t="s">
        <v>164</v>
      </c>
      <c r="B7" s="82">
        <f>Hintergrunddaten!C22</f>
        <v>2000</v>
      </c>
      <c r="C7" s="79" t="s">
        <v>176</v>
      </c>
      <c r="D7" s="80"/>
      <c r="E7" s="80"/>
    </row>
    <row r="8" spans="1:5" x14ac:dyDescent="0.25">
      <c r="A8" s="78" t="s">
        <v>37</v>
      </c>
      <c r="B8" s="82">
        <f>Hintergrunddaten!C23</f>
        <v>2000</v>
      </c>
      <c r="C8" s="79" t="s">
        <v>176</v>
      </c>
      <c r="D8" s="80"/>
      <c r="E8" s="80"/>
    </row>
    <row r="9" spans="1:5" x14ac:dyDescent="0.25">
      <c r="A9" s="78" t="s">
        <v>42</v>
      </c>
      <c r="B9" s="82">
        <f>Hintergrunddaten!C24</f>
        <v>2000</v>
      </c>
      <c r="C9" s="79" t="s">
        <v>176</v>
      </c>
      <c r="D9" s="80"/>
      <c r="E9" s="80"/>
    </row>
    <row r="10" spans="1:5" x14ac:dyDescent="0.25">
      <c r="A10" s="78" t="s">
        <v>167</v>
      </c>
      <c r="B10" s="82">
        <f>Hintergrunddaten!C25</f>
        <v>800</v>
      </c>
      <c r="C10" s="79" t="s">
        <v>176</v>
      </c>
      <c r="D10" s="80"/>
      <c r="E10" s="80"/>
    </row>
    <row r="11" spans="1:5" x14ac:dyDescent="0.25">
      <c r="A11" s="78" t="s">
        <v>165</v>
      </c>
      <c r="B11" s="82">
        <f>Hintergrunddaten!C26</f>
        <v>500</v>
      </c>
      <c r="C11" s="79" t="s">
        <v>176</v>
      </c>
      <c r="D11" s="80"/>
      <c r="E11" s="80"/>
    </row>
    <row r="12" spans="1:5" ht="34.5" customHeight="1" x14ac:dyDescent="0.25">
      <c r="A12" s="77" t="s">
        <v>30</v>
      </c>
      <c r="B12" s="78"/>
      <c r="C12" s="79"/>
      <c r="D12" s="87"/>
      <c r="E12" s="87"/>
    </row>
    <row r="13" spans="1:5" x14ac:dyDescent="0.25">
      <c r="A13" s="78" t="s">
        <v>30</v>
      </c>
      <c r="B13" s="82">
        <f>Hintergrunddaten!C28</f>
        <v>80</v>
      </c>
      <c r="C13" s="79" t="s">
        <v>174</v>
      </c>
      <c r="D13" s="88">
        <f>Hintergrunddaten!F28</f>
        <v>480</v>
      </c>
      <c r="E13" s="88">
        <f>Hintergrunddaten!H28</f>
        <v>2400</v>
      </c>
    </row>
    <row r="14" spans="1:5" ht="34.5" customHeight="1" x14ac:dyDescent="0.25">
      <c r="A14" s="77" t="s">
        <v>40</v>
      </c>
      <c r="B14" s="78"/>
      <c r="C14" s="79"/>
      <c r="D14" s="87"/>
      <c r="E14" s="87"/>
    </row>
    <row r="15" spans="1:5" x14ac:dyDescent="0.25">
      <c r="A15" s="78" t="s">
        <v>54</v>
      </c>
      <c r="B15" s="82">
        <f>Hintergrunddaten!C30</f>
        <v>100</v>
      </c>
      <c r="C15" s="79" t="s">
        <v>175</v>
      </c>
      <c r="D15" s="88">
        <f>Hintergrunddaten!F30</f>
        <v>500</v>
      </c>
      <c r="E15" s="88">
        <f>Hintergrunddaten!H30</f>
        <v>3000</v>
      </c>
    </row>
    <row r="16" spans="1:5" ht="34.5" customHeight="1" x14ac:dyDescent="0.25">
      <c r="A16" s="77" t="s">
        <v>31</v>
      </c>
      <c r="B16" s="78"/>
      <c r="C16" s="79"/>
      <c r="D16" s="87"/>
      <c r="E16" s="87"/>
    </row>
    <row r="17" spans="1:5" x14ac:dyDescent="0.25">
      <c r="A17" s="78" t="s">
        <v>65</v>
      </c>
      <c r="B17" s="82">
        <f>Hintergrunddaten!C32</f>
        <v>12</v>
      </c>
      <c r="C17" s="79" t="s">
        <v>211</v>
      </c>
      <c r="D17" s="88">
        <f>Hintergrunddaten!F32</f>
        <v>240</v>
      </c>
      <c r="E17" s="88">
        <f>Hintergrunddaten!H32</f>
        <v>4800</v>
      </c>
    </row>
    <row r="18" spans="1:5" x14ac:dyDescent="0.25">
      <c r="A18" s="86" t="s">
        <v>181</v>
      </c>
      <c r="B18" s="82">
        <f>Hintergrunddaten!C33</f>
        <v>6</v>
      </c>
      <c r="C18" s="79" t="s">
        <v>211</v>
      </c>
      <c r="D18" s="88">
        <f>Hintergrunddaten!F33</f>
        <v>120</v>
      </c>
      <c r="E18" s="88">
        <f>Hintergrunddaten!H33</f>
        <v>2400</v>
      </c>
    </row>
    <row r="19" spans="1:5" x14ac:dyDescent="0.25">
      <c r="A19" s="78" t="s">
        <v>138</v>
      </c>
      <c r="B19" s="82">
        <f>Hintergrunddaten!C34</f>
        <v>8</v>
      </c>
      <c r="C19" s="79" t="s">
        <v>211</v>
      </c>
      <c r="D19" s="88">
        <f>Hintergrunddaten!F34</f>
        <v>160</v>
      </c>
      <c r="E19" s="88">
        <f>Hintergrunddaten!H34</f>
        <v>1600</v>
      </c>
    </row>
    <row r="20" spans="1:5" x14ac:dyDescent="0.25">
      <c r="A20" s="86" t="s">
        <v>181</v>
      </c>
      <c r="B20" s="82">
        <f>Hintergrunddaten!C35</f>
        <v>6</v>
      </c>
      <c r="C20" s="79" t="s">
        <v>211</v>
      </c>
      <c r="D20" s="88">
        <f>Hintergrunddaten!F35</f>
        <v>120</v>
      </c>
      <c r="E20" s="88">
        <f>Hintergrunddaten!H35</f>
        <v>1200</v>
      </c>
    </row>
    <row r="21" spans="1:5" x14ac:dyDescent="0.25">
      <c r="A21" s="78" t="s">
        <v>139</v>
      </c>
      <c r="B21" s="82">
        <f>Hintergrunddaten!C36</f>
        <v>6</v>
      </c>
      <c r="C21" s="79" t="s">
        <v>211</v>
      </c>
      <c r="D21" s="88">
        <f>Hintergrunddaten!F36</f>
        <v>120</v>
      </c>
      <c r="E21" s="88">
        <f>Hintergrunddaten!H36</f>
        <v>1200</v>
      </c>
    </row>
    <row r="22" spans="1:5" x14ac:dyDescent="0.25">
      <c r="A22" s="86" t="s">
        <v>181</v>
      </c>
      <c r="B22" s="82">
        <f>Hintergrunddaten!C37</f>
        <v>6</v>
      </c>
      <c r="C22" s="79" t="s">
        <v>211</v>
      </c>
      <c r="D22" s="88">
        <f>Hintergrunddaten!F37</f>
        <v>120</v>
      </c>
      <c r="E22" s="88">
        <f>Hintergrunddaten!H37</f>
        <v>1200</v>
      </c>
    </row>
    <row r="23" spans="1:5" ht="34.5" customHeight="1" x14ac:dyDescent="0.25">
      <c r="A23" s="77" t="s">
        <v>32</v>
      </c>
      <c r="B23" s="78"/>
      <c r="C23" s="79"/>
      <c r="D23" s="87"/>
      <c r="E23" s="87"/>
    </row>
    <row r="24" spans="1:5" x14ac:dyDescent="0.25">
      <c r="A24" s="78" t="s">
        <v>51</v>
      </c>
      <c r="B24" s="82">
        <f>Hintergrunddaten!C39</f>
        <v>1000</v>
      </c>
      <c r="C24" s="79" t="s">
        <v>176</v>
      </c>
      <c r="D24" s="88"/>
      <c r="E24" s="88"/>
    </row>
    <row r="25" spans="1:5" x14ac:dyDescent="0.25">
      <c r="A25" s="78" t="s">
        <v>52</v>
      </c>
      <c r="B25" s="82">
        <f>Hintergrunddaten!C40</f>
        <v>50</v>
      </c>
      <c r="C25" s="79" t="s">
        <v>163</v>
      </c>
      <c r="D25" s="88">
        <f>Hintergrunddaten!F40</f>
        <v>100</v>
      </c>
      <c r="E25" s="88">
        <f>Hintergrunddaten!H40</f>
        <v>800</v>
      </c>
    </row>
    <row r="26" spans="1:5" ht="34.5" customHeight="1" x14ac:dyDescent="0.25">
      <c r="A26" s="77" t="s">
        <v>161</v>
      </c>
      <c r="B26" s="78"/>
      <c r="C26" s="79"/>
      <c r="D26" s="87"/>
      <c r="E26" s="87"/>
    </row>
    <row r="27" spans="1:5" x14ac:dyDescent="0.25">
      <c r="A27" s="81" t="s">
        <v>162</v>
      </c>
      <c r="B27" s="82">
        <f>Hintergrunddaten!C42</f>
        <v>50</v>
      </c>
      <c r="C27" s="79" t="s">
        <v>163</v>
      </c>
      <c r="D27" s="88">
        <f>Hintergrunddaten!F42</f>
        <v>50</v>
      </c>
      <c r="E27" s="88">
        <f>Hintergrunddaten!H42</f>
        <v>400</v>
      </c>
    </row>
    <row r="28" spans="1:5" ht="34.5" customHeight="1" x14ac:dyDescent="0.25">
      <c r="A28" s="77" t="s">
        <v>33</v>
      </c>
      <c r="B28" s="78"/>
      <c r="C28" s="79"/>
      <c r="D28" s="87"/>
      <c r="E28" s="87"/>
    </row>
    <row r="29" spans="1:5" x14ac:dyDescent="0.25">
      <c r="A29" s="83" t="s">
        <v>57</v>
      </c>
      <c r="B29" s="84">
        <f>Hintergrunddaten!C44</f>
        <v>15</v>
      </c>
      <c r="C29" s="85" t="s">
        <v>210</v>
      </c>
      <c r="D29" s="89">
        <f>Hintergrunddaten!F44</f>
        <v>150</v>
      </c>
      <c r="E29" s="89">
        <f>Hintergrunddaten!H44</f>
        <v>4500</v>
      </c>
    </row>
  </sheetData>
  <mergeCells count="1">
    <mergeCell ref="B2:C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Förderantrag</vt:lpstr>
      <vt:lpstr>Antragsdaten</vt:lpstr>
      <vt:lpstr>Hintergrunddaten</vt:lpstr>
      <vt:lpstr>Fördersätze Förderrichtlinie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2022-07-25T09:31:22Z</dcterms:modified>
</cp:coreProperties>
</file>